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P:\Rahandusosakond\Eelarve\2025 EELARVE\SIM 2025\KK\"/>
    </mc:Choice>
  </mc:AlternateContent>
  <xr:revisionPtr revIDLastSave="0" documentId="13_ncr:1_{2881DCEF-6A78-406D-971D-8E3AD0EC8427}" xr6:coauthVersionLast="47" xr6:coauthVersionMax="47" xr10:uidLastSave="{00000000-0000-0000-0000-000000000000}"/>
  <bookViews>
    <workbookView xWindow="-110" yWindow="-110" windowWidth="19420" windowHeight="10300" xr2:uid="{00000000-000D-0000-FFFF-FFFF00000000}"/>
  </bookViews>
  <sheets>
    <sheet name="DTO" sheetId="1" r:id="rId1"/>
    <sheet name="EKO" sheetId="2" r:id="rId2"/>
    <sheet name="ELVO" sheetId="3" r:id="rId3"/>
    <sheet name="kantsler" sheetId="4" r:id="rId4"/>
    <sheet name="KO" sheetId="5" r:id="rId5"/>
    <sheet name="KSO" sheetId="6" r:id="rId6"/>
    <sheet name="KEA" sheetId="7" r:id="rId7"/>
    <sheet name="KVO" sheetId="8" r:id="rId8"/>
    <sheet name="PO" sheetId="10" r:id="rId9"/>
    <sheet name="PRO" sheetId="11" r:id="rId10"/>
    <sheet name="RHO" sheetId="12" r:id="rId11"/>
    <sheet name="RTO" sheetId="13" r:id="rId12"/>
    <sheet name="SAO" sheetId="14" r:id="rId13"/>
    <sheet name="SAK" sheetId="15" r:id="rId14"/>
    <sheet name="SJO" sheetId="16" r:id="rId15"/>
    <sheet name="SM" sheetId="17" r:id="rId16"/>
    <sheet name="STAO" sheetId="18" r:id="rId17"/>
    <sheet name="UKO" sheetId="19" r:id="rId18"/>
    <sheet name="VAK" sheetId="21" r:id="rId19"/>
    <sheet name="VHO" sheetId="22" r:id="rId20"/>
    <sheet name="VVO" sheetId="20" r:id="rId21"/>
    <sheet name="ÕO" sheetId="9" r:id="rId2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 i="1" l="1"/>
  <c r="J11" i="22"/>
  <c r="I11" i="22"/>
  <c r="J9" i="9"/>
  <c r="K9" i="9"/>
  <c r="I9" i="9"/>
  <c r="J16" i="20"/>
  <c r="K16" i="20"/>
  <c r="I16" i="20"/>
  <c r="J12" i="22"/>
  <c r="K12" i="22"/>
  <c r="I12" i="22"/>
  <c r="J8" i="21"/>
  <c r="K8" i="21"/>
  <c r="I8" i="21"/>
  <c r="J27" i="19"/>
  <c r="K27" i="19"/>
  <c r="I27" i="19"/>
  <c r="J12" i="18"/>
  <c r="K12" i="18"/>
  <c r="I12" i="18"/>
  <c r="J7" i="17"/>
  <c r="K7" i="17"/>
  <c r="I7" i="17"/>
  <c r="J6" i="16"/>
  <c r="K6" i="16"/>
  <c r="I6" i="16"/>
  <c r="J6" i="15"/>
  <c r="K6" i="15"/>
  <c r="I6" i="15"/>
  <c r="J13" i="14"/>
  <c r="K13" i="14"/>
  <c r="I13" i="14"/>
  <c r="J12" i="13"/>
  <c r="K12" i="13"/>
  <c r="I12" i="13"/>
  <c r="J24" i="12"/>
  <c r="K24" i="12"/>
  <c r="I24" i="12"/>
  <c r="J9" i="11"/>
  <c r="K9" i="11"/>
  <c r="I9" i="11"/>
  <c r="J13" i="10"/>
  <c r="K13" i="10"/>
  <c r="I13" i="10"/>
  <c r="J8" i="8"/>
  <c r="K8" i="8"/>
  <c r="I8" i="8"/>
  <c r="J7" i="7" l="1"/>
  <c r="K7" i="7"/>
  <c r="I7" i="7"/>
  <c r="J10" i="6"/>
  <c r="K10" i="6"/>
  <c r="I10" i="6"/>
  <c r="J15" i="5"/>
  <c r="K15" i="5"/>
  <c r="I15" i="5"/>
  <c r="J7" i="4" l="1"/>
  <c r="K7" i="4"/>
  <c r="I7" i="4"/>
  <c r="J13" i="3"/>
  <c r="K13" i="3"/>
  <c r="I13" i="3"/>
  <c r="K15" i="2"/>
  <c r="I7" i="2"/>
  <c r="J16" i="2"/>
  <c r="K16" i="2"/>
  <c r="I16" i="2"/>
  <c r="J15" i="1" l="1"/>
  <c r="K15" i="1"/>
  <c r="I15" i="1"/>
</calcChain>
</file>

<file path=xl/sharedStrings.xml><?xml version="1.0" encoding="utf-8"?>
<sst xmlns="http://schemas.openxmlformats.org/spreadsheetml/2006/main" count="1904" uniqueCount="390">
  <si>
    <t>Nimetus</t>
  </si>
  <si>
    <t>Kulugrupp</t>
  </si>
  <si>
    <t>Eelarve liik ja objekt</t>
  </si>
  <si>
    <t>Eelarve projekt</t>
  </si>
  <si>
    <t>Grant</t>
  </si>
  <si>
    <t>Tegevusala</t>
  </si>
  <si>
    <t>Kuluüksus</t>
  </si>
  <si>
    <t>Muudatused</t>
  </si>
  <si>
    <t>Tööjõukulud</t>
  </si>
  <si>
    <t>välisvahendid</t>
  </si>
  <si>
    <t>500</t>
  </si>
  <si>
    <t>40</t>
  </si>
  <si>
    <t>1S10-RF21-01212SIM2</t>
  </si>
  <si>
    <t>03600</t>
  </si>
  <si>
    <t>KS100T0900</t>
  </si>
  <si>
    <t>Digipöörde teenuste juht SIMis</t>
  </si>
  <si>
    <t>IKT</t>
  </si>
  <si>
    <t>projekt</t>
  </si>
  <si>
    <t>5514</t>
  </si>
  <si>
    <t>20</t>
  </si>
  <si>
    <t>S10-DHS-HALDUS</t>
  </si>
  <si>
    <t/>
  </si>
  <si>
    <t>KS10009995</t>
  </si>
  <si>
    <t>1S10-RF21-01212RR5</t>
  </si>
  <si>
    <t>01600</t>
  </si>
  <si>
    <t>KS100R1400</t>
  </si>
  <si>
    <t>RR menetlustarkvara arendustööde projektijuhtimine (SIM)</t>
  </si>
  <si>
    <t>1S10-RF21-01212SIM</t>
  </si>
  <si>
    <t>KS100T1800</t>
  </si>
  <si>
    <t>Digipöörde projektijuhtimine SIMis</t>
  </si>
  <si>
    <t>Investeeringud IT</t>
  </si>
  <si>
    <t>15</t>
  </si>
  <si>
    <t>20IN002000</t>
  </si>
  <si>
    <t>S10-RS</t>
  </si>
  <si>
    <t>Muu admin kulu</t>
  </si>
  <si>
    <t>550099</t>
  </si>
  <si>
    <t>S10-ARHIIV</t>
  </si>
  <si>
    <t>tsentraalne</t>
  </si>
  <si>
    <t>550011</t>
  </si>
  <si>
    <t>Erisoodustused</t>
  </si>
  <si>
    <t>otsekulud</t>
  </si>
  <si>
    <t>505</t>
  </si>
  <si>
    <t>Info ja PR</t>
  </si>
  <si>
    <t>550060</t>
  </si>
  <si>
    <t>Arendus- ja uurimistööd</t>
  </si>
  <si>
    <t>5502</t>
  </si>
  <si>
    <t>20SR10A100</t>
  </si>
  <si>
    <t>S10-EITS</t>
  </si>
  <si>
    <t>Töötasu</t>
  </si>
  <si>
    <t>S10-PR-DTO</t>
  </si>
  <si>
    <t>Projektitoetus</t>
  </si>
  <si>
    <t>450</t>
  </si>
  <si>
    <t>41</t>
  </si>
  <si>
    <t>S1SCF-KI21-02332</t>
  </si>
  <si>
    <t>KS100S2200</t>
  </si>
  <si>
    <t>32</t>
  </si>
  <si>
    <t>40IN002000</t>
  </si>
  <si>
    <t>9S10-MU00-UCPM</t>
  </si>
  <si>
    <t>Auditeerimine</t>
  </si>
  <si>
    <t>550051</t>
  </si>
  <si>
    <t>9S10-RR20-03123VAPO</t>
  </si>
  <si>
    <t>Koolituskulud</t>
  </si>
  <si>
    <t>5504</t>
  </si>
  <si>
    <t>10702</t>
  </si>
  <si>
    <t>Tegevustoetused</t>
  </si>
  <si>
    <t>452</t>
  </si>
  <si>
    <t>20SR100042</t>
  </si>
  <si>
    <t>S10-RK-112</t>
  </si>
  <si>
    <t>S10-PR-EKO</t>
  </si>
  <si>
    <t>Lühiajalised lähetused</t>
  </si>
  <si>
    <t>55030</t>
  </si>
  <si>
    <t>Taksoteenused</t>
  </si>
  <si>
    <t>55130</t>
  </si>
  <si>
    <t>KS10009999</t>
  </si>
  <si>
    <t>Pikaajalised lähetused</t>
  </si>
  <si>
    <t>55031</t>
  </si>
  <si>
    <t>KS100T0610</t>
  </si>
  <si>
    <t>Tegevustoetus</t>
  </si>
  <si>
    <t>10SE100002</t>
  </si>
  <si>
    <t>IT Agentuuri töötajate käibemaksu hüvitis</t>
  </si>
  <si>
    <t>Esinduskulu</t>
  </si>
  <si>
    <t>550040</t>
  </si>
  <si>
    <t>S10-JK-ESINDUS</t>
  </si>
  <si>
    <t>Tõlge</t>
  </si>
  <si>
    <t>550003</t>
  </si>
  <si>
    <t>S10-TÕLK</t>
  </si>
  <si>
    <t>S10-ELVO-EKTL</t>
  </si>
  <si>
    <t>ATA Erisoodustused</t>
  </si>
  <si>
    <t>KS100T0600</t>
  </si>
  <si>
    <t>S10-PR-ELV</t>
  </si>
  <si>
    <t>2024.a eelarvejäägi ülekandmine</t>
  </si>
  <si>
    <t>S10-RES-MAJ-KAN</t>
  </si>
  <si>
    <t>KS100T0000</t>
  </si>
  <si>
    <t>S10-PR-JK</t>
  </si>
  <si>
    <t>S10-KO-SIM-AASTAPAEV</t>
  </si>
  <si>
    <t>S10-KO-SIM-VAARTPAEV</t>
  </si>
  <si>
    <t>S10-KO-MEEDIA</t>
  </si>
  <si>
    <t>S10-KO-MUU</t>
  </si>
  <si>
    <t>S10-KO-RIIK-VABARIIK</t>
  </si>
  <si>
    <t>S10-KO-BRIIF</t>
  </si>
  <si>
    <t>S10-KO-VEEB</t>
  </si>
  <si>
    <t>S10-KO-SIM-SKAPARIM</t>
  </si>
  <si>
    <t>KS100T0300</t>
  </si>
  <si>
    <t>S10-KO-SIM-ARVAMFEST</t>
  </si>
  <si>
    <t>S10-PR-KO</t>
  </si>
  <si>
    <t>1S10-SF21</t>
  </si>
  <si>
    <t>KS100S1100</t>
  </si>
  <si>
    <t>1S10-TA21-07121KOOS</t>
  </si>
  <si>
    <t>S10-PR-KKP</t>
  </si>
  <si>
    <t>S10-KO-SIM-VABATAHTL</t>
  </si>
  <si>
    <t>KS100S2000</t>
  </si>
  <si>
    <t>S10-PR-KEA</t>
  </si>
  <si>
    <t xml:space="preserve"> Digi- ja teabehaldusosakond</t>
  </si>
  <si>
    <t>Lisa 1</t>
  </si>
  <si>
    <t>Esialgne eelarve</t>
  </si>
  <si>
    <t>SIM annab SMITi eelarvesse 2025. a REDIS-e hooldus- ja tugiteenuseks 25 295 eurot.</t>
  </si>
  <si>
    <t xml:space="preserve">RS projekti eelarve muudatused: 1. 2024.aastast ülekantud vahendid; 2. 60 852 eurot suunati HK ja PÄA eelarvest asutustele soetatud seadmete kulude katteks. </t>
  </si>
  <si>
    <t>otsekulud (erisoodustusmaksudega maksustatavad kulud). Erisoodustuste eelarve suurendatakse vastavalt osakonna teenistujate arvule.</t>
  </si>
  <si>
    <t>Küberturbe tagamine. 2024.a kasutamata eelarve jääk kantakse 2025.a üle.</t>
  </si>
  <si>
    <t xml:space="preserve">Elanikkonnakaitse osakond </t>
  </si>
  <si>
    <t>Lisa 2</t>
  </si>
  <si>
    <t xml:space="preserve">Avalikud hoiatusteated eelistatud keeles. </t>
  </si>
  <si>
    <t xml:space="preserve">Avalikud hoiatusteated eelistatud keeles. RHO eelarvest valitsemisala reservist eraldatud omafinantseerimiseks 26 750 eurot. </t>
  </si>
  <si>
    <t>Kohalike omavalitsuste kriisivõimekuse suurendamine.  VV sihtotstarbelisest reservist eraldatud 750 tuh eurot.</t>
  </si>
  <si>
    <t xml:space="preserve">Osakonna otsekulud </t>
  </si>
  <si>
    <t>Tulemustasu</t>
  </si>
  <si>
    <t>Vabatahtlike portaali loomise tegevuskulud</t>
  </si>
  <si>
    <t>Päästevõimekuse suurendamine. Grandile on avatud eelarve.</t>
  </si>
  <si>
    <t>Eelarvekonto</t>
  </si>
  <si>
    <t>Euroopa Liidu ja välissuhete osakond</t>
  </si>
  <si>
    <t>Lisa 3</t>
  </si>
  <si>
    <t>ELVO erialadiplomaadi täiendavate kulude katteks suunatakse kantsleri eelarvest SIM reservist 6000 eurot ELVO pikaajaliste lähetuste eelarvesse.</t>
  </si>
  <si>
    <t>ELVO projekti S10-JK-ESINDUS eelarvesse valitsemisala reservist suunatakse 20 000 eurot seoses 19.–20. juunil Tallinnas ja Narvas toimunud Balti riikide, Soome, Rootsi, Poola ja Norra sisejulgeoleku eest vastutavate ministrite kohtumise korraldamisega.</t>
  </si>
  <si>
    <t>Eesti-Ukraina koostöö sh ka EKTL.</t>
  </si>
  <si>
    <t>Otsustatud kantsleri osakonnajuhatajate 2025.aasta fond on 10 000 eurot (brutosumma ilma tööandja maksudeta). Tulemustasufondi reservist suunatakse 1000 eurot kantsleri tulemustasufondi.</t>
  </si>
  <si>
    <t>Kantsler</t>
  </si>
  <si>
    <t>Lisa 4</t>
  </si>
  <si>
    <t>SIM jaotamata majandamiskulude reserv. Reservi muutus. 1. 2024.a kohustustest vaba eelarve jäägi kanti 2025.a SIM jaotamata reservi; 2. SIM üldnumbri teenindab HK, 9054 eurot on üle antud HK eelarvesse;  3. RHO eelarvesse suunatud 11 640 eurot KO tellitud käsundlepingu kulude katteks; 4. 21 600 eurot suunatud SKA eelarvesse keskastmejuhtide arenguprogrammi SIKA 2024.a koolituse alustanud täiendava grupi 2025.a kulude katteks; 5. 3052 eurot  - PRO eelarvesse IOM liikmemaksu tegelike kulude katteks; 6. 839 eurot - VHO tsentraalsete kuludesse (TEKO ala uuendamine); 7.Õigusaktide keeletoimetuse lepingu sõlmimiseks suunati 10 000 eurot ÕO eelarvesse; 8. Valitsemisala reservist suunatud SIM kantsleri reservi SIM eelarve vähendamise otsuse (RES 2025-2028) leevendamiseks 23 962 eurot; 9. Kantsleri eelarvest SIM jaotamata reservist suunatud KO projekti BRIIF eelarvesse KO projekti BRIIF eelarvesse 227 eurot (juunikuu mõttekoda); 10. ELVO erialadiplomaadi täiendavate kulude katteks suunatud ELVO pikaajaliste lähetuste eelarvesse 6 000 eurot;  11. RHO eelarvesse taksokuludeks suunatud 7 tuhat eurot; 12. 15 490 eurot RHO eelarvesse tööjõukulude TVLide kulude katteks.</t>
  </si>
  <si>
    <t xml:space="preserve">Aastalõpupeo kulud kokku </t>
  </si>
  <si>
    <t>505/55</t>
  </si>
  <si>
    <t>Vabariigi aastapäeva kulud kokku</t>
  </si>
  <si>
    <t>SIM veebi arendamine</t>
  </si>
  <si>
    <t>Arvamusfestival</t>
  </si>
  <si>
    <t>Väärtuste päev</t>
  </si>
  <si>
    <t>Briifing projekti kulud kokku</t>
  </si>
  <si>
    <t>Meediamonitoringu teenus</t>
  </si>
  <si>
    <t>Muud kommunikatsiooni projektid</t>
  </si>
  <si>
    <t>Osakonna otsekulud</t>
  </si>
  <si>
    <t>SIM 2024.a kasutamata jäänud vahenditest suunati KO 2025.a eelarvesse ministri, ministri nõunike jt pildistamise teenuse kulude katteks 1800 eurot.</t>
  </si>
  <si>
    <t>SIM väärtuste seminari ja väärtuste päeva korraladmine</t>
  </si>
  <si>
    <t>SKA parimate õppurite tunnustamise ürituse kulud</t>
  </si>
  <si>
    <t>Arvamusfestivalil osalemine</t>
  </si>
  <si>
    <t>SIM aastapäeva üritus</t>
  </si>
  <si>
    <t>1. RHO eelarvest valitsemisala reservist suunatud KO projekti BRIIF eelarvesse 49 000 eurot (leping kommunikatsiooniagentuuriga Meta Advisory – 30 tuhat eurot. Ida-Viru tasuliste meediapindadega jätkamine kuni 6 kuud 19 tuhat eurot); 2. Kantsleri eelarvest SIM jaotamata reservist suunati 227 eurot KO projekti BRIIF eelarvesse (juunikuu mõttekoda).</t>
  </si>
  <si>
    <t>Kommunikatsiooniosakond</t>
  </si>
  <si>
    <t>Lisa 5</t>
  </si>
  <si>
    <t>Avatud on välisvahendite tehnilise abi eelarve "Koosloome arengukiirendi".</t>
  </si>
  <si>
    <t xml:space="preserve">Noorte tööhõivevalmiduse toetamine. </t>
  </si>
  <si>
    <t xml:space="preserve">Korrakaitse ja süüteomenetluse osakond </t>
  </si>
  <si>
    <t>Lisa 6</t>
  </si>
  <si>
    <t>Kriisivalmiduse ja elanikkonnakaitse asekantsler</t>
  </si>
  <si>
    <t>Lisa 7</t>
  </si>
  <si>
    <t>Selgitused</t>
  </si>
  <si>
    <t>Muudetud eelarve</t>
  </si>
  <si>
    <t>KS100S2500</t>
  </si>
  <si>
    <t>S10-KRIIS-VALMIDUS</t>
  </si>
  <si>
    <t>S10-RK-124-K</t>
  </si>
  <si>
    <t>506</t>
  </si>
  <si>
    <t>S10-PR-KVO</t>
  </si>
  <si>
    <t>KS100T1200</t>
  </si>
  <si>
    <t>S10-KEELTOIM</t>
  </si>
  <si>
    <t>S10-PR-ÕO</t>
  </si>
  <si>
    <t>Jur.teenus</t>
  </si>
  <si>
    <t>550050</t>
  </si>
  <si>
    <t>Kohtukulud</t>
  </si>
  <si>
    <t>608</t>
  </si>
  <si>
    <t>KS100T0100</t>
  </si>
  <si>
    <t>KS10009996</t>
  </si>
  <si>
    <t>S10-SPORT</t>
  </si>
  <si>
    <t>S10-TERVIS</t>
  </si>
  <si>
    <t>S10-JUHT</t>
  </si>
  <si>
    <t>S10-KAAST</t>
  </si>
  <si>
    <t>S10-STEB</t>
  </si>
  <si>
    <t>Personaliteenus</t>
  </si>
  <si>
    <t>550052</t>
  </si>
  <si>
    <t>Spordikulud</t>
  </si>
  <si>
    <t>554030</t>
  </si>
  <si>
    <t>S10-PR-PO</t>
  </si>
  <si>
    <t>KS100S1300</t>
  </si>
  <si>
    <t>Liikmemaks</t>
  </si>
  <si>
    <t>20SE000003</t>
  </si>
  <si>
    <t>S10-ABIS-LIIKMEM</t>
  </si>
  <si>
    <t>S10-IOM-LIIKMEM</t>
  </si>
  <si>
    <t>Toetused</t>
  </si>
  <si>
    <t>S10-KEELEOPE</t>
  </si>
  <si>
    <t>Eesti keele keeleõppe korraldamine välismaalastele</t>
  </si>
  <si>
    <t>S10-PR-PRO</t>
  </si>
  <si>
    <t>KS100T1500</t>
  </si>
  <si>
    <t>S10-RK-124-T</t>
  </si>
  <si>
    <t>S10-PR-JK-TS</t>
  </si>
  <si>
    <t>S10-PR-MAKSUD</t>
  </si>
  <si>
    <t>S10-PR-RES</t>
  </si>
  <si>
    <t>S10-PR-RHO</t>
  </si>
  <si>
    <t>Maksud (osakondade erisoodustustelt)</t>
  </si>
  <si>
    <t>Tegevustoetus (Erakonnad)</t>
  </si>
  <si>
    <t>20SE100001</t>
  </si>
  <si>
    <t>08400</t>
  </si>
  <si>
    <t>Töötasu ja maksud</t>
  </si>
  <si>
    <t>Valitsemisala projekt</t>
  </si>
  <si>
    <t>S10-IN-valala-RES-ABIS</t>
  </si>
  <si>
    <t>S10-IN-valala-RES-MUU</t>
  </si>
  <si>
    <t>20IN003000</t>
  </si>
  <si>
    <t>S10-IN-valala-RES-Ranne</t>
  </si>
  <si>
    <t>Investeeringud muud</t>
  </si>
  <si>
    <t>20IN005000</t>
  </si>
  <si>
    <t>Investeeringud transportvara</t>
  </si>
  <si>
    <t>S10-IN-valala-RES-TR</t>
  </si>
  <si>
    <t>S10-IN-valala-RES-KRIT</t>
  </si>
  <si>
    <t>S10-IN-valala-RES-MUU-MAJ</t>
  </si>
  <si>
    <t>S10-OHT</t>
  </si>
  <si>
    <t>S10-valala-rande</t>
  </si>
  <si>
    <t>S10-RAHVR-KULU</t>
  </si>
  <si>
    <t>S10-VALIM</t>
  </si>
  <si>
    <t>S10-RTO-KONV</t>
  </si>
  <si>
    <t>S10-PR-RTO</t>
  </si>
  <si>
    <t>9S10-RR20-03123RRF</t>
  </si>
  <si>
    <t>RRF tehniline abi, programm "Nutikas rahvastikuarvestus"</t>
  </si>
  <si>
    <t>KS100T0400</t>
  </si>
  <si>
    <t>S10-PR-SAO</t>
  </si>
  <si>
    <t>9S10-AM21-TA-SAO</t>
  </si>
  <si>
    <t>9S10-BM21-TA-SAO</t>
  </si>
  <si>
    <t>SAO osalus tehniline abi Piirihalduse ja viisapoliitika</t>
  </si>
  <si>
    <t>9S10-IS21-TA-SAO</t>
  </si>
  <si>
    <t>SAO osalus Sisejulgeolekufondi politseikoostöö ja kriisiohje rahastamisvahend</t>
  </si>
  <si>
    <t>SAO osalus tehniline abi Varjupaiga-, rände- ja integratsioonifond 2021-2027</t>
  </si>
  <si>
    <t>KS100S1000</t>
  </si>
  <si>
    <t>S10-PR-SAK</t>
  </si>
  <si>
    <t>KS100S3500</t>
  </si>
  <si>
    <t>S10-PR-SJO</t>
  </si>
  <si>
    <t>KS100S0000</t>
  </si>
  <si>
    <t>S10-RES-MAJ-SM</t>
  </si>
  <si>
    <t>reserv</t>
  </si>
  <si>
    <t>S10-PR-SM</t>
  </si>
  <si>
    <t>S10-TEADUS</t>
  </si>
  <si>
    <t>S10-STAK</t>
  </si>
  <si>
    <t>S10-PLANPRO</t>
  </si>
  <si>
    <t>Õppetoetus</t>
  </si>
  <si>
    <t>S10-STIPENDIUM</t>
  </si>
  <si>
    <t>S10-PR-STO</t>
  </si>
  <si>
    <t>KS100R1700</t>
  </si>
  <si>
    <t>Õppevahendid</t>
  </si>
  <si>
    <t>5524</t>
  </si>
  <si>
    <t>S10-K-SYNDMUS</t>
  </si>
  <si>
    <t>S10-K-KYSK</t>
  </si>
  <si>
    <t>S10-K-KYSK-AREND</t>
  </si>
  <si>
    <t>S10-K-KYSK-INNO</t>
  </si>
  <si>
    <t>S10-K-KYSK-KOGUK</t>
  </si>
  <si>
    <t>S10-K-KYSK-VABAYH</t>
  </si>
  <si>
    <t>S10-K-STRAT</t>
  </si>
  <si>
    <t>S10-K-USK-DIASP</t>
  </si>
  <si>
    <t>S10-K-USK-EKN</t>
  </si>
  <si>
    <t>S10-K-USK-MUUD</t>
  </si>
  <si>
    <t>S10-K-KYSK-HALDUS</t>
  </si>
  <si>
    <t>S10-K-STRAT-KODU</t>
  </si>
  <si>
    <t>STRAT projekti sisemised muudatused, detailsemalt kirjeldamine</t>
  </si>
  <si>
    <t>S10-K-INNO</t>
  </si>
  <si>
    <t>S10-PR-UKO</t>
  </si>
  <si>
    <t>6S10-SH00-01132</t>
  </si>
  <si>
    <t>Eesti-Sveitsi koostööprogramm</t>
  </si>
  <si>
    <t>S1SSF-RT21-04772</t>
  </si>
  <si>
    <t>Kodanikuühiskonna mõju suurendamine ja arengu toetamine</t>
  </si>
  <si>
    <t>S6SSH-RT00-01133</t>
  </si>
  <si>
    <t>Kodanikuühiskonna tugevdamine sotsiaalse innovatsiooni edendamise teel</t>
  </si>
  <si>
    <t>KS100S3600</t>
  </si>
  <si>
    <t>9S10-BM21-TA-VVO</t>
  </si>
  <si>
    <t>1S10-TA21-07121</t>
  </si>
  <si>
    <t>uue perioodi tehniline abi</t>
  </si>
  <si>
    <t>9S10-AM21-TA-VVO</t>
  </si>
  <si>
    <t>VVO osalus tehniline abi Varjupaiga-, rände- ja integratsioonifond 2021-2027</t>
  </si>
  <si>
    <t>VVO osalus tehniline abi Piirihalduse ja viisapoliitika</t>
  </si>
  <si>
    <t>9S10-IS21-TA-VVO</t>
  </si>
  <si>
    <t>VVO osalus Sisejulgeolekufondi politseikoostöö ja kriisiohje rahastamisvahend</t>
  </si>
  <si>
    <t>S9SAM-SI21</t>
  </si>
  <si>
    <t>20SR100012</t>
  </si>
  <si>
    <t>S9SBM-SI21</t>
  </si>
  <si>
    <t>03100</t>
  </si>
  <si>
    <t>Maismaapiiri patrullivõimekuse tõstmine</t>
  </si>
  <si>
    <t>S9SIS-SI21</t>
  </si>
  <si>
    <t>Teabevahetuse tõhustamine ja hõlbustamine</t>
  </si>
  <si>
    <t>KS100T1000</t>
  </si>
  <si>
    <t>S10-PR-VAK</t>
  </si>
  <si>
    <t>KS10009997</t>
  </si>
  <si>
    <t>KS100T1700</t>
  </si>
  <si>
    <t>S10-RK-022</t>
  </si>
  <si>
    <t>20SE000028</t>
  </si>
  <si>
    <t>S10-RKAS-UUR</t>
  </si>
  <si>
    <t>S10-IN-TRV</t>
  </si>
  <si>
    <t>Kinnistute kulud</t>
  </si>
  <si>
    <t>5511</t>
  </si>
  <si>
    <t>S10-KIN-KOR</t>
  </si>
  <si>
    <t>Kinnistute kulud (RKAS)</t>
  </si>
  <si>
    <t>S10-PR-VHO</t>
  </si>
  <si>
    <t>Trükised</t>
  </si>
  <si>
    <t>550001</t>
  </si>
  <si>
    <t>S10-KO-TRYKIS-PERIOD</t>
  </si>
  <si>
    <t>Tegevuskulud</t>
  </si>
  <si>
    <t>50/55</t>
  </si>
  <si>
    <t>S10-KOOL</t>
  </si>
  <si>
    <t>S10-PERSONAL</t>
  </si>
  <si>
    <t>50/55/45</t>
  </si>
  <si>
    <t>Keelelise toimetamise tellimise lepingu mahu suurendamine, kantsleri eelarvest SIM jaotamata majandamiskulude reservist suunatakse 10 000 eurot ÕO projekti S10-KEELTOIM eelarvesse.</t>
  </si>
  <si>
    <t>Kriisivalmiduse osakond</t>
  </si>
  <si>
    <t>Lisa 8</t>
  </si>
  <si>
    <t>Personaliosakond</t>
  </si>
  <si>
    <t>Lisa 9</t>
  </si>
  <si>
    <t>Piirivalve- ja rändeosakond</t>
  </si>
  <si>
    <t>Lisa 10</t>
  </si>
  <si>
    <t>Rahandusosakond</t>
  </si>
  <si>
    <t>Lisa 11</t>
  </si>
  <si>
    <t>Rahvastiku toimingute osakond</t>
  </si>
  <si>
    <t>Lisa 12</t>
  </si>
  <si>
    <t>Siseauditi osakond</t>
  </si>
  <si>
    <t>Lisa 13</t>
  </si>
  <si>
    <t>Sisejulgeoleku asekantsler</t>
  </si>
  <si>
    <t>Lisa 14</t>
  </si>
  <si>
    <t>Sisejulgeoleku osakond</t>
  </si>
  <si>
    <t>Lisa 15</t>
  </si>
  <si>
    <t>Siseminister</t>
  </si>
  <si>
    <t>Lisa 16</t>
  </si>
  <si>
    <t>Strateegia- ja arendusosakond</t>
  </si>
  <si>
    <t>Lisa 17</t>
  </si>
  <si>
    <t>Usuasjade ja kodanikuühiskonna osakond</t>
  </si>
  <si>
    <t>Lisa 18</t>
  </si>
  <si>
    <t>Varade asekantsler</t>
  </si>
  <si>
    <t>Lisa 19</t>
  </si>
  <si>
    <t>Varahaldusosakond</t>
  </si>
  <si>
    <t>Lisa 20</t>
  </si>
  <si>
    <t>Välisvahendite osakond</t>
  </si>
  <si>
    <t>Lisa 21</t>
  </si>
  <si>
    <t>Õigusosakond</t>
  </si>
  <si>
    <t>Lisa 22</t>
  </si>
  <si>
    <t>Valitsemisala reservist suunati KVO eelarvesse õppuste (SiM kriisistaabi õppus, sõjamäng, DELA2025) korraldamiseks 2100 eurot.</t>
  </si>
  <si>
    <t>Riigi kriisiõppus/kompleksõppus. SIM poolt korraldatavate õppuste eelarvesse VV sihtotstarbelisest reservist eraldatud vahendid. 2025.a õppuse ettevalmistamiseks ning  2026.a õppuse kuludeks suunati 35 tuh eurot.</t>
  </si>
  <si>
    <t>SKA eelarvesse karjäärikeskuse eelarve.</t>
  </si>
  <si>
    <t>Erinevate tasemete juhtidele suunatud arendusprogrammid.</t>
  </si>
  <si>
    <t>Stebby kulud</t>
  </si>
  <si>
    <t xml:space="preserve">Biomeetria instituudi liikemaks (ABIS) </t>
  </si>
  <si>
    <t>Rahvusvaheline Migratsiooniorganisatsioon (IOM) liikmemaks. 3052 eurot suunatakse kantsleri reservist PRO eelarvesse IOM liikmemaksu tegelike kulude katteks.</t>
  </si>
  <si>
    <t>RTO korraldatav igaaastane kahepäevane konverents</t>
  </si>
  <si>
    <t>RRF tehniline abi, programm "Nutikas rahvastikuarvestus". Eelarve on SMITile üle antud.</t>
  </si>
  <si>
    <t>otsekulud (erisoodustusmaksudega maksustatavad kulud)</t>
  </si>
  <si>
    <t xml:space="preserve">otsekulud (esinduskulud) </t>
  </si>
  <si>
    <t xml:space="preserve">Tulemustasu </t>
  </si>
  <si>
    <t xml:space="preserve">42 636 eurot kantakse 2024.a eelarvest SIM 2025.a projekti eelarvesse. 1800 eurot suunati PÄA eelarvest ning 38 808 eurot suunati PPA eelarvest projekti tegevusteks.  60 832 eurot suunati RHO eelarvest valitsemisala reservist esimese kvartali tegevuskulude katteks.  </t>
  </si>
  <si>
    <t>Teadus-, arendus- ja innovatsioontegevus. Muudatused: 1. 268 303 eurot kantakse 2024.a eelarvest SIM 2025.a projekti eelarvesse; 2. 78 674 on SKAle üle antud 1,5 teaduri ametikoha palgakuludeks; 3.  PPA eelarvesse üle antud 88 888 eurot 2025 uuringu „Turvalise ruumiloome teadus- ja tõenduspõhise maailmapraktika analüüs ning rakendamissoovitused ja juhendmaterjal“ läbi viimiseks; 4. PPA eelarvesse 29 899 eurot, et teha õigusteaduslik analüüs „Tehisintellekti kasutamine võitluses kuritegevusega sotsiaalmeedia- ja suhtlusplatvormidel“; 5. PäA eelarvesse „Keelemudeli arendamine päästetööde andmete analüüsiks ja aruandluseks“ 18 700 eurot.</t>
  </si>
  <si>
    <t xml:space="preserve">Kodanikuühiskonna strateegilised partnerid. RHO eelarvest valitsemisala reservist suunatakse UKO eelarvesse: 1. Projekt „Hakkab looma 2050“, Rohetiiger SAle 20 000 eurot; 2. SA Valga Isamaalise kasvatuse Püsiekspositsioon-Valga sõjamuuseumile tegevustoetuse erladamiseks 30 000 eurot; 3. 96 548 eurot kantakse 2024.a eelarvest 2025.a projekti eelarvesse; 4. 70 000 eurot suunati sama projekti alamelemendi S10-K-STRAT-KODU eelarvesse. </t>
  </si>
  <si>
    <t>Vabatahtluse tunnustamine jm kodanikuühiskonna valdkonna sündmused.</t>
  </si>
  <si>
    <t>Innovatsioonifondi tegevused viiakse ellu KÜSK SA kaudu, eelarve suunatud S10-K-KÜSK projekti.</t>
  </si>
  <si>
    <t xml:space="preserve">Kodanikuühiskonna Sihtkapital SA (KÜSK) toetus. 342 981 eurot kanti 2024.a eelarvest  2025.a projekti eelarvesse, projekti eelarve jagati sama projekti alamelementideks. </t>
  </si>
  <si>
    <t>S10-K-KYSK projekti sisemised muudatused</t>
  </si>
  <si>
    <t xml:space="preserve">Usuliste ühenduste tegevuse toetamine. Narva Aleksandri kiriku 2024. aasta kommunaalkulude katmiseks suunatakse 7918 eurot RHO eelarvest projektist S10-IN-valala-RES-MUU-MAJ. </t>
  </si>
  <si>
    <t>Eestikeelsete jumalateenistuste läbiviimiseks eestlaste kogudustes välismaal.</t>
  </si>
  <si>
    <t xml:space="preserve">Eesti Kirikute Nõukogu tegevuse toetamine. </t>
  </si>
  <si>
    <t>Tulemustasu 14 100 eurot. 2500 eurot suunatakse tulemustasu reservist VAK tulemustasufondi (RHO osakonnajuhataja tulemustasu).</t>
  </si>
  <si>
    <t>Tsentraalsed kulud. Muudatused: 1. 12 000 eurot sidekulude eelarve suunatakse DTO eelarvest VHO eelarvesse; 2. 2 000 eurot on kantud 2024.a eelarvest 2025.a VHO eelarvesse massaazitooli soetamiseks; 3. 839 eurot suunati kantsleri eelarvest SIM reservist VHO tsentraalsete kuludesse (TEKO ala uuendamine).</t>
  </si>
  <si>
    <t>12 000 eurot sidekulude eelarve suunatakse DTO eelarvest VHO eelarvesse.</t>
  </si>
  <si>
    <t>Posti- ja sidekulud</t>
  </si>
  <si>
    <t xml:space="preserve">Korralise remondi kulud </t>
  </si>
  <si>
    <t>Perioodilised väljaanded</t>
  </si>
  <si>
    <t>RKAS sh SIM Lai ja Pikk tn, Rakvere ja Kärdla üürikulud</t>
  </si>
  <si>
    <t>Tulemustasu 14 850 eurot. 620 eurot tagastati tulemustasu reservi VHO tulemustasufondist (rahastamisallika muutmine varude nõunik).</t>
  </si>
  <si>
    <t>SIM valitsemisala transportvara investeeringute eelarvest (RHO) suunati SIM transportvara investeeringuteks 50 000 eurot.</t>
  </si>
  <si>
    <t>Laovõimekuse tõstmine hübriidohtudega paremaks toimetulekuks VV sihtotstarbelisest reservist eraldatud 66 000 eurot.</t>
  </si>
  <si>
    <t>VV reservist saadud BMVI fondile kaasfinantseerimine</t>
  </si>
  <si>
    <t>Tulemustasufondi reservist suunatakse 1000 eurot kantsleri ning 2500 VAK tulemustasufondi; 620 eurot tagastatakse reservi VHO tulemustasufondist (rahastamisallika muutmine varude nõunik).</t>
  </si>
  <si>
    <t>Kantsleri eelarvest SIM jaotamata reservist suunatakse RHO eelarvesse taksokuludeks 7 tuhat eurot.</t>
  </si>
  <si>
    <t xml:space="preserve">KRIT kohustustest vaba reserv. 37 252 eurot kantakse 2024.a eelarvest SIM 2025.a eelarvesse. </t>
  </si>
  <si>
    <t>Ohuteavitussüsteemi loomise (äritellimuse) ja teenuse juhtimise kulud. 57 011 eurot kantakse 2024.a eelarvest.</t>
  </si>
  <si>
    <t xml:space="preserve">VV sihtotstarbelisest reservist ABISe ülalpidamiseks planeeritud vahendid valitsemisala eelarvesse. </t>
  </si>
  <si>
    <r>
      <t>Valitsemisala tegevuskulude reservi muudatused:1. Eesti Kirikute Nõukogu tegevuse toetamine. Narva Aleksandri kiriku 2024 aasta kommunaalkulude katmiseks suunatakse 7918 eurot RHO eelarvest UAO eelarvesse projekti "Eesti Kirikute Nõukogu tegevuse toetamine."; 2. 26 750 eurot RHO eelarvest valitsemisala reservist eraldatud EKO eelarvesse "Avalikud hoiatusteated eelistatud keeles" omafinantseerimiseks; 3. 879 419 eurot kantakse 2024.a eelarvest 2025.a eelarvesse; 4. KO projekti BRIIF: Leping kommunikatsiooniagentuuriga Meta Advisory – summas 30 tuhat eurot. Ida-Viru tasuliste meediapindadega jätkamine kuni 6 kuud summas 19 tuhat eurot; 5. 24 370 eurot SKA eelarvesse juhtide arengupäeva HÜPE kulude katteks (22 370 eurot) ning 2000 eurot Paikuse vilistlaste kokkutuleku tarbeks; 6. PlanPro tarbeks broneeritud 42 832 eurot eraldati STAO 2025. a eelarvesse; 7. 20 000 eurot projekti „Hakkab looma 2050“ elluviimiseks Rohetiiger SAle ning 30 000 eurot Valga IKPE toetuste eraldamiseks suunati UKO eelarvesse; 8. SKA eelarvesse 23 001 eurot (karjäärikeskuse eelarve); 9. 60 852 eurot tehnilisest vajadusest lähtuvalt suunati reservi majandmiskulude eelarvesse reservi IT investeeringute eelarvest; 10. KVO eelarvesse õppuste (SiM kriisistaabi õppus, sõjamäng, DELA2025) korraldamiseks 2100 eurot; 11.</t>
    </r>
    <r>
      <rPr>
        <sz val="10"/>
        <color theme="1"/>
        <rFont val="Calibri"/>
        <family val="2"/>
        <scheme val="minor"/>
      </rPr>
      <t xml:space="preserve"> </t>
    </r>
    <r>
      <rPr>
        <sz val="10"/>
        <color theme="3"/>
        <rFont val="Calibri"/>
        <family val="2"/>
        <charset val="186"/>
        <scheme val="minor"/>
      </rPr>
      <t>ELVO projekti S10-JK-ESINDUS eelarvesse valitsemisala reservist suunatakse 20 000 eurot seoses 19.–20. juunil Tallinnas ja Narvas toimunud Balti riikide, Soome, Rootsi, Poola ja Norra sisejulgeoleku eest vastutavate ministrite kohtumise korraldamisega</t>
    </r>
    <r>
      <rPr>
        <sz val="10"/>
        <color theme="1"/>
        <rFont val="Calibri"/>
        <family val="2"/>
        <scheme val="minor"/>
      </rPr>
      <t>; 12.Vastavalt 13.03.2025 eelarve- ja arenduskomitee otsusele suunatakse valitsemisala reservist SMITile 159 263 eurot (SKA toomine SMITi võrku); 13. SIM annab SMITi 2025. a tööjõukulude eelarvesse 7 359 eurot (VAPO projekti vajadused); 14. 20 tuh eurot suunatakse RHO eelarvesse SIM palgafondi (KVO õigusnõunik); 15. Valitsemisala reservist SIM kantsleri reservi SIM eelarve vähendamise otsuse (RES 2025-2028) leevendamiseks 23 962 eurot; 16. Valitsemisala reservist suunatakse SKA eelarvesse 279 tuh eurot (Moodle õpikeskkond, Karjäärinõustamise- ja värbamisteenuse arendamine Siseturvalisuse karjäärikeskuses jt).</t>
    </r>
  </si>
  <si>
    <t xml:space="preserve">Muude investeeringute reserv. Reservi muutused: 2024.a eelarve kasutamata jääk kanti 2025.a eelarvesse üle. PlanPro tarbeks broneeritud 18 000 eurot eraldati STAO 2025. a eelarvesse. </t>
  </si>
  <si>
    <t>Muude investeeringute reserv.</t>
  </si>
  <si>
    <t>Transportvara reserv. Transportvara eelarve muudatus vastavalt SIM 20.12.2024 nr 7-1/429-1 kirjale (SKA 150 tuh eurot, SMIT 50 tuh eurot, SIM 50 tuh eurot).</t>
  </si>
  <si>
    <t>Rändemenetluse reservi 2024.a kasutamata eelarve jääk kantakse 2025.a üle</t>
  </si>
  <si>
    <t>20/43</t>
  </si>
  <si>
    <t xml:space="preserve">osakondade erisoodustuse maksud aasta kulu on 67 708 eurot. </t>
  </si>
  <si>
    <t xml:space="preserve">SIM üldised tööjõukulud. Eelarve muudatused: 1. 337 437 eurot kantakse 2024.a eelarvest SIM2025.a tööjõukuludeks; 2. Kantsleri eelarvest jaotamata reservist suunatud SIM töötasu eelarvesse 11 640 eurot KO tellitud käsundlepingu kulude katteks; 3. 450 000 eurot eraldatud tulemustasufondi; 4. 101 570 eurot eraldati SKA eelarvesse (karjäärikeskuse eelarve); 5. 20 tuh eurot suunati valitsemisala reservist projekti S10-IN-valala-RES-MUU-MAJ eelarvest RHO eelarvesse SIM palgafondi (KVO õigusnõunik); 6. Kantsleri eelarvest SIM jaotamata reservist suunati RHO eelarvesse tööjõukuludeks 15 490 eurot (otsustatud TVLide kulue katteks); 7. Laekus riigikantselei eelarvest SNE palagakulude hüvitis 15000, liik 43. </t>
  </si>
  <si>
    <t>Tsentraalsed preemiad. Tulemustasufondi arvestuse põhimõtete ühtlustamisega seoses suunati tsentraalsete preemiate eelarvest (S10-PR-JK-TS) 7 094 eurot tulemustasu maksude eelarvesse projekti S10-PR-MAKSUD.</t>
  </si>
  <si>
    <t>Tulemustasude maksudeks eelarve planeeritud eraldi reale. Tulemustasufondi suunati algselt  113 677 eurot. Tulemustasufondi arvestuse põhimõtete ühtlustamisega seoses suunati tsentraalsete preemiate eelarvest (S10-PR-JK-TS) 7 094 eurot tulemustasu maksude eelarvesse projekti S10-PR-MAKSUD.</t>
  </si>
  <si>
    <t>Riigi kriisiõppus/kompleksõppus. VV sihtotstarbelisest reservist eraldatud vahendid (KVO kahe teenistujate palgakulud).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</si>
</sst>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name val="Calibri"/>
      <family val="2"/>
      <charset val="186"/>
      <scheme val="minor"/>
    </font>
    <font>
      <b/>
      <sz val="10"/>
      <color theme="1"/>
      <name val="Calibri"/>
      <family val="2"/>
      <scheme val="minor"/>
    </font>
    <font>
      <sz val="10"/>
      <color theme="1"/>
      <name val="Calibri"/>
      <family val="2"/>
      <scheme val="minor"/>
    </font>
    <font>
      <sz val="10"/>
      <name val="Calibri"/>
      <family val="2"/>
      <scheme val="minor"/>
    </font>
    <font>
      <b/>
      <sz val="10"/>
      <color theme="1"/>
      <name val="Calibri"/>
      <family val="2"/>
      <charset val="186"/>
      <scheme val="minor"/>
    </font>
    <font>
      <sz val="10"/>
      <color theme="1"/>
      <name val="Calibri"/>
      <family val="2"/>
      <charset val="186"/>
      <scheme val="minor"/>
    </font>
    <font>
      <sz val="10"/>
      <color rgb="FFFF0000"/>
      <name val="Calibri"/>
      <family val="2"/>
      <scheme val="minor"/>
    </font>
    <font>
      <sz val="10"/>
      <color theme="3"/>
      <name val="Calibri"/>
      <family val="2"/>
      <charset val="186"/>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right/>
      <top style="thin">
        <color theme="4" tint="0.39997558519241921"/>
      </top>
      <bottom style="thin">
        <color theme="4" tint="0.39997558519241921"/>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61">
    <xf numFmtId="0" fontId="0" fillId="0" borderId="0" xfId="0"/>
    <xf numFmtId="0" fontId="1" fillId="0" borderId="2" xfId="0" applyFont="1" applyBorder="1" applyAlignment="1">
      <alignment horizontal="left" vertical="top" wrapText="1"/>
    </xf>
    <xf numFmtId="0" fontId="2" fillId="0" borderId="0" xfId="0" applyFont="1"/>
    <xf numFmtId="0" fontId="3" fillId="0" borderId="0" xfId="0" applyFont="1"/>
    <xf numFmtId="3" fontId="3" fillId="0" borderId="0" xfId="0" applyNumberFormat="1" applyFont="1"/>
    <xf numFmtId="0" fontId="3" fillId="0" borderId="0" xfId="0" applyFont="1" applyAlignment="1">
      <alignment wrapText="1"/>
    </xf>
    <xf numFmtId="0" fontId="4" fillId="0" borderId="2" xfId="0" applyFont="1" applyBorder="1" applyAlignment="1">
      <alignment horizontal="left" vertical="top" wrapText="1"/>
    </xf>
    <xf numFmtId="0" fontId="3" fillId="0" borderId="2" xfId="0" applyFont="1" applyBorder="1" applyAlignment="1">
      <alignment horizontal="center" vertical="center"/>
    </xf>
    <xf numFmtId="0" fontId="3" fillId="0" borderId="2" xfId="0" applyFont="1" applyBorder="1"/>
    <xf numFmtId="3" fontId="3" fillId="0" borderId="2" xfId="0" applyNumberFormat="1" applyFont="1" applyBorder="1"/>
    <xf numFmtId="0" fontId="3" fillId="0" borderId="2" xfId="0" applyFont="1" applyBorder="1" applyAlignment="1">
      <alignment wrapText="1"/>
    </xf>
    <xf numFmtId="0" fontId="3" fillId="0" borderId="2" xfId="0" applyFont="1" applyBorder="1" applyAlignment="1">
      <alignment horizontal="left" vertical="top" wrapText="1"/>
    </xf>
    <xf numFmtId="0" fontId="3" fillId="0" borderId="2" xfId="0" applyFont="1" applyBorder="1" applyAlignment="1">
      <alignment horizontal="center" vertical="center" wrapText="1"/>
    </xf>
    <xf numFmtId="0" fontId="3" fillId="0" borderId="0" xfId="0" applyFont="1" applyAlignment="1">
      <alignment horizontal="left" vertical="top" wrapText="1"/>
    </xf>
    <xf numFmtId="0" fontId="5" fillId="0" borderId="0" xfId="0" applyFont="1" applyAlignment="1">
      <alignment horizontal="left" vertical="top" wrapText="1"/>
    </xf>
    <xf numFmtId="0" fontId="5" fillId="0" borderId="0" xfId="0" applyFont="1"/>
    <xf numFmtId="0" fontId="5" fillId="0" borderId="0" xfId="0" applyFont="1" applyAlignment="1">
      <alignment wrapText="1"/>
    </xf>
    <xf numFmtId="3" fontId="3" fillId="0" borderId="1" xfId="0" applyNumberFormat="1" applyFont="1" applyBorder="1"/>
    <xf numFmtId="49" fontId="1" fillId="0" borderId="2" xfId="0" applyNumberFormat="1" applyFont="1" applyBorder="1" applyAlignment="1">
      <alignment horizontal="left" vertical="top" wrapText="1"/>
    </xf>
    <xf numFmtId="0" fontId="1" fillId="2" borderId="2" xfId="0" applyFont="1" applyFill="1" applyBorder="1" applyAlignment="1">
      <alignment horizontal="left" vertical="top" wrapText="1"/>
    </xf>
    <xf numFmtId="0" fontId="6" fillId="0" borderId="2" xfId="0" applyFont="1" applyBorder="1"/>
    <xf numFmtId="0" fontId="1" fillId="0" borderId="2" xfId="0" applyFont="1" applyBorder="1" applyAlignment="1">
      <alignment wrapText="1"/>
    </xf>
    <xf numFmtId="0" fontId="4" fillId="0" borderId="2" xfId="0" applyFont="1" applyBorder="1" applyAlignment="1">
      <alignment vertical="top" wrapText="1"/>
    </xf>
    <xf numFmtId="0" fontId="4" fillId="0" borderId="2" xfId="0" applyFont="1" applyBorder="1" applyAlignment="1">
      <alignment wrapText="1"/>
    </xf>
    <xf numFmtId="0" fontId="4" fillId="0" borderId="2" xfId="0" applyFont="1" applyBorder="1"/>
    <xf numFmtId="0" fontId="3" fillId="0" borderId="0" xfId="0" applyFont="1" applyAlignment="1">
      <alignment horizontal="center" vertical="center" wrapText="1"/>
    </xf>
    <xf numFmtId="0" fontId="3" fillId="0" borderId="0" xfId="0" applyFont="1" applyAlignment="1">
      <alignment vertical="top"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xf numFmtId="0" fontId="3" fillId="0" borderId="8" xfId="0" applyFont="1" applyBorder="1"/>
    <xf numFmtId="0" fontId="3" fillId="0" borderId="9" xfId="0" applyFont="1" applyBorder="1"/>
    <xf numFmtId="3" fontId="3" fillId="0" borderId="9" xfId="0" applyNumberFormat="1" applyFont="1" applyBorder="1"/>
    <xf numFmtId="0" fontId="3" fillId="0" borderId="10" xfId="0" applyFont="1" applyBorder="1" applyAlignment="1">
      <alignment wrapText="1"/>
    </xf>
    <xf numFmtId="0" fontId="3" fillId="0" borderId="2" xfId="0" applyFont="1" applyFill="1" applyBorder="1"/>
    <xf numFmtId="3" fontId="3" fillId="0" borderId="2" xfId="0" applyNumberFormat="1" applyFont="1" applyFill="1" applyBorder="1"/>
    <xf numFmtId="0" fontId="3" fillId="0" borderId="7" xfId="0" applyFont="1" applyFill="1" applyBorder="1" applyAlignment="1">
      <alignment horizontal="left" vertical="top" wrapText="1"/>
    </xf>
    <xf numFmtId="0" fontId="3" fillId="0" borderId="2" xfId="0" applyFont="1" applyFill="1" applyBorder="1" applyAlignment="1">
      <alignment horizontal="left" vertical="top" wrapText="1"/>
    </xf>
    <xf numFmtId="0" fontId="3" fillId="0" borderId="7" xfId="0" applyFont="1" applyBorder="1" applyAlignment="1">
      <alignment horizontal="left" vertical="top" wrapText="1"/>
    </xf>
    <xf numFmtId="0" fontId="3" fillId="0" borderId="10" xfId="0" applyFont="1" applyBorder="1" applyAlignment="1">
      <alignment horizontal="left" vertical="top" wrapText="1"/>
    </xf>
    <xf numFmtId="0" fontId="3" fillId="0" borderId="6" xfId="0" applyFont="1" applyBorder="1" applyAlignment="1">
      <alignment wrapText="1"/>
    </xf>
    <xf numFmtId="0" fontId="3" fillId="0" borderId="8" xfId="0" applyFont="1" applyBorder="1" applyAlignment="1">
      <alignment wrapText="1"/>
    </xf>
    <xf numFmtId="0" fontId="3" fillId="0" borderId="10" xfId="0" applyFont="1" applyBorder="1" applyAlignment="1">
      <alignment vertical="top" wrapText="1"/>
    </xf>
    <xf numFmtId="0" fontId="3" fillId="0" borderId="0" xfId="0" applyFont="1" applyFill="1"/>
    <xf numFmtId="3" fontId="3" fillId="0" borderId="0" xfId="0" applyNumberFormat="1" applyFont="1" applyFill="1"/>
    <xf numFmtId="0" fontId="5" fillId="0" borderId="0" xfId="0" applyFont="1" applyAlignment="1">
      <alignment vertical="top" wrapText="1"/>
    </xf>
    <xf numFmtId="0" fontId="1" fillId="0" borderId="11" xfId="0" applyFont="1" applyBorder="1" applyAlignment="1">
      <alignment horizontal="left" vertical="top" wrapText="1"/>
    </xf>
    <xf numFmtId="0" fontId="1" fillId="0" borderId="12" xfId="0" applyFont="1" applyBorder="1" applyAlignment="1">
      <alignment vertical="top" wrapText="1"/>
    </xf>
    <xf numFmtId="0" fontId="3" fillId="0" borderId="0" xfId="0" applyFont="1" applyFill="1" applyAlignment="1">
      <alignment horizontal="left" vertical="top" wrapText="1"/>
    </xf>
    <xf numFmtId="0" fontId="7" fillId="0" borderId="0" xfId="0" applyFont="1" applyFill="1"/>
    <xf numFmtId="0" fontId="4" fillId="0" borderId="2" xfId="0" applyFont="1" applyFill="1" applyBorder="1"/>
    <xf numFmtId="3" fontId="4" fillId="0" borderId="0" xfId="0" applyNumberFormat="1" applyFont="1" applyFill="1"/>
    <xf numFmtId="0" fontId="4" fillId="0" borderId="0" xfId="0" applyFont="1" applyAlignment="1">
      <alignment horizontal="left" vertical="top" wrapText="1"/>
    </xf>
    <xf numFmtId="0" fontId="1" fillId="2" borderId="12" xfId="0" applyFont="1" applyFill="1" applyBorder="1" applyAlignment="1">
      <alignment vertical="top" wrapText="1"/>
    </xf>
    <xf numFmtId="0" fontId="4" fillId="0" borderId="10" xfId="0" applyFont="1" applyBorder="1" applyAlignment="1">
      <alignment horizontal="left" vertical="top" wrapText="1"/>
    </xf>
    <xf numFmtId="0" fontId="1" fillId="0" borderId="7" xfId="0" applyFont="1" applyBorder="1" applyAlignment="1">
      <alignment horizontal="left" vertical="top" wrapText="1"/>
    </xf>
    <xf numFmtId="0" fontId="3" fillId="0" borderId="7" xfId="0" quotePrefix="1" applyFont="1" applyBorder="1" applyAlignment="1">
      <alignment horizontal="left" vertical="top" wrapText="1"/>
    </xf>
    <xf numFmtId="0" fontId="6" fillId="0" borderId="7" xfId="0" quotePrefix="1" applyFont="1" applyBorder="1" applyAlignment="1">
      <alignment horizontal="left" vertical="top" wrapText="1"/>
    </xf>
    <xf numFmtId="0" fontId="4" fillId="0" borderId="7" xfId="0" applyFont="1" applyFill="1" applyBorder="1" applyAlignment="1">
      <alignment horizontal="left" vertical="top" wrapText="1"/>
    </xf>
    <xf numFmtId="3" fontId="3" fillId="0" borderId="9" xfId="0" applyNumberFormat="1" applyFont="1" applyFill="1" applyBorder="1"/>
  </cellXfs>
  <cellStyles count="1">
    <cellStyle name="Normal" xfId="0" builtinId="0"/>
  </cellStyles>
  <dxfs count="616">
    <dxf>
      <font>
        <strike val="0"/>
        <outline val="0"/>
        <shadow val="0"/>
        <u val="none"/>
        <vertAlign val="baseline"/>
        <sz val="10"/>
        <color theme="1"/>
        <name val="Calibri"/>
        <family val="2"/>
        <scheme val="minor"/>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Calibri"/>
        <family val="2"/>
        <scheme val="minor"/>
      </font>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0"/>
        <color theme="1"/>
        <name val="Calibri"/>
        <family val="2"/>
        <scheme val="minor"/>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Calibri"/>
        <family val="2"/>
        <scheme val="minor"/>
      </font>
      <numFmt numFmtId="3" formatCode="#,##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alignment horizontal="general" vertical="bottom" textRotation="0" wrapText="1"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border diagonalUp="0" diagonalDown="0" outline="0">
        <left/>
        <right style="thin">
          <color indexed="64"/>
        </right>
        <top style="thin">
          <color indexed="64"/>
        </top>
        <bottom/>
      </border>
    </dxf>
    <dxf>
      <font>
        <strike val="0"/>
        <outline val="0"/>
        <shadow val="0"/>
        <u val="none"/>
        <vertAlign val="baseline"/>
        <sz val="10"/>
        <color theme="1"/>
        <name val="Calibri"/>
        <family val="2"/>
        <scheme val="minor"/>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Calibri"/>
        <family val="2"/>
        <scheme val="minor"/>
      </font>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family val="2"/>
        <scheme val="minor"/>
      </font>
      <numFmt numFmtId="3" formatCode="#,##0"/>
    </dxf>
    <dxf>
      <font>
        <b val="0"/>
        <i val="0"/>
        <strike val="0"/>
        <condense val="0"/>
        <extend val="0"/>
        <outline val="0"/>
        <shadow val="0"/>
        <u val="none"/>
        <vertAlign val="baseline"/>
        <sz val="10"/>
        <color theme="1"/>
        <name val="Calibri"/>
        <family val="2"/>
        <scheme val="minor"/>
      </font>
      <numFmt numFmtId="3" formatCode="#,##0"/>
    </dxf>
    <dxf>
      <font>
        <b val="0"/>
        <i val="0"/>
        <strike val="0"/>
        <condense val="0"/>
        <extend val="0"/>
        <outline val="0"/>
        <shadow val="0"/>
        <u val="none"/>
        <vertAlign val="baseline"/>
        <sz val="10"/>
        <color theme="1"/>
        <name val="Calibri"/>
        <family val="2"/>
        <scheme val="minor"/>
      </font>
      <numFmt numFmtId="3" formatCode="#,##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border diagonalUp="0" diagonalDown="0" outline="0">
        <left/>
        <right style="thin">
          <color indexed="64"/>
        </right>
        <top style="thin">
          <color indexed="64"/>
        </top>
        <bottom/>
      </border>
    </dxf>
    <dxf>
      <font>
        <strike val="0"/>
        <outline val="0"/>
        <shadow val="0"/>
        <u val="none"/>
        <vertAlign val="baseline"/>
        <sz val="10"/>
        <color theme="1"/>
        <name val="Calibri"/>
        <family val="2"/>
        <scheme val="minor"/>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numFmt numFmtId="3" formatCode="#,##0"/>
    </dxf>
    <dxf>
      <font>
        <b val="0"/>
        <i val="0"/>
        <strike val="0"/>
        <condense val="0"/>
        <extend val="0"/>
        <outline val="0"/>
        <shadow val="0"/>
        <u val="none"/>
        <vertAlign val="baseline"/>
        <sz val="10"/>
        <color theme="1"/>
        <name val="Calibri"/>
        <family val="2"/>
        <scheme val="minor"/>
      </font>
      <numFmt numFmtId="3" formatCode="#,##0"/>
    </dxf>
    <dxf>
      <font>
        <b val="0"/>
        <i val="0"/>
        <strike val="0"/>
        <condense val="0"/>
        <extend val="0"/>
        <outline val="0"/>
        <shadow val="0"/>
        <u val="none"/>
        <vertAlign val="baseline"/>
        <sz val="10"/>
        <color theme="1"/>
        <name val="Calibri"/>
        <family val="2"/>
        <scheme val="minor"/>
      </font>
      <numFmt numFmtId="3" formatCode="#,##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family val="2"/>
        <scheme val="minor"/>
      </font>
      <numFmt numFmtId="3" formatCode="#,##0"/>
    </dxf>
    <dxf>
      <font>
        <b val="0"/>
        <i val="0"/>
        <strike val="0"/>
        <condense val="0"/>
        <extend val="0"/>
        <outline val="0"/>
        <shadow val="0"/>
        <u val="none"/>
        <vertAlign val="baseline"/>
        <sz val="10"/>
        <color theme="1"/>
        <name val="Calibri"/>
        <family val="2"/>
        <scheme val="minor"/>
      </font>
      <numFmt numFmtId="3" formatCode="#,##0"/>
    </dxf>
    <dxf>
      <font>
        <b val="0"/>
        <i val="0"/>
        <strike val="0"/>
        <condense val="0"/>
        <extend val="0"/>
        <outline val="0"/>
        <shadow val="0"/>
        <u val="none"/>
        <vertAlign val="baseline"/>
        <sz val="10"/>
        <color theme="1"/>
        <name val="Calibri"/>
        <family val="2"/>
        <scheme val="minor"/>
      </font>
      <numFmt numFmtId="3" formatCode="#,##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border diagonalUp="0" diagonalDown="0" outline="0">
        <left/>
        <right style="thin">
          <color indexed="64"/>
        </right>
        <top style="thin">
          <color indexed="64"/>
        </top>
        <bottom/>
      </border>
    </dxf>
    <dxf>
      <font>
        <strike val="0"/>
        <outline val="0"/>
        <shadow val="0"/>
        <u val="none"/>
        <vertAlign val="baseline"/>
        <sz val="10"/>
        <color theme="1"/>
        <name val="Calibri"/>
        <family val="2"/>
        <scheme val="minor"/>
      </font>
      <fill>
        <patternFill patternType="none">
          <fgColor indexed="64"/>
          <bgColor auto="1"/>
        </patternFill>
      </fill>
    </dxf>
    <dxf>
      <font>
        <strike val="0"/>
        <outline val="0"/>
        <shadow val="0"/>
        <u val="none"/>
        <vertAlign val="baseline"/>
        <sz val="10"/>
        <color theme="1"/>
        <name val="Calibri"/>
        <family val="2"/>
        <scheme val="minor"/>
      </font>
      <alignment horizontal="left" vertical="top" textRotation="0" wrapText="1" indent="0" justifyLastLine="0" shrinkToFit="0" readingOrder="0"/>
    </dxf>
    <dxf>
      <font>
        <strike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numFmt numFmtId="3" formatCode="#,##0"/>
    </dxf>
    <dxf>
      <font>
        <b val="0"/>
        <i val="0"/>
        <strike val="0"/>
        <condense val="0"/>
        <extend val="0"/>
        <outline val="0"/>
        <shadow val="0"/>
        <u val="none"/>
        <vertAlign val="baseline"/>
        <sz val="10"/>
        <color theme="1"/>
        <name val="Calibri"/>
        <family val="2"/>
        <scheme val="minor"/>
      </font>
      <numFmt numFmtId="3" formatCode="#,##0"/>
    </dxf>
    <dxf>
      <font>
        <b val="0"/>
        <i val="0"/>
        <strike val="0"/>
        <condense val="0"/>
        <extend val="0"/>
        <outline val="0"/>
        <shadow val="0"/>
        <u val="none"/>
        <vertAlign val="baseline"/>
        <sz val="10"/>
        <color theme="1"/>
        <name val="Calibri"/>
        <family val="2"/>
        <scheme val="minor"/>
      </font>
      <numFmt numFmtId="3" formatCode="#,##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numFmt numFmtId="3" formatCode="#,##0"/>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family val="2"/>
        <scheme val="minor"/>
      </font>
      <numFmt numFmtId="3" formatCode="#,##0"/>
    </dxf>
    <dxf>
      <font>
        <b val="0"/>
        <i val="0"/>
        <strike val="0"/>
        <condense val="0"/>
        <extend val="0"/>
        <outline val="0"/>
        <shadow val="0"/>
        <u val="none"/>
        <vertAlign val="baseline"/>
        <sz val="10"/>
        <color theme="1"/>
        <name val="Calibri"/>
        <family val="2"/>
        <scheme val="minor"/>
      </font>
      <numFmt numFmtId="3" formatCode="#,##0"/>
    </dxf>
    <dxf>
      <font>
        <b val="0"/>
        <i val="0"/>
        <strike val="0"/>
        <condense val="0"/>
        <extend val="0"/>
        <outline val="0"/>
        <shadow val="0"/>
        <u val="none"/>
        <vertAlign val="baseline"/>
        <sz val="10"/>
        <color theme="1"/>
        <name val="Calibri"/>
        <family val="2"/>
        <scheme val="minor"/>
      </font>
      <numFmt numFmtId="3" formatCode="#,##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border diagonalUp="0" diagonalDown="0" outline="0">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family val="2"/>
        <scheme val="minor"/>
      </font>
      <numFmt numFmtId="3" formatCode="#,##0"/>
    </dxf>
    <dxf>
      <font>
        <b val="0"/>
        <i val="0"/>
        <strike val="0"/>
        <condense val="0"/>
        <extend val="0"/>
        <outline val="0"/>
        <shadow val="0"/>
        <u val="none"/>
        <vertAlign val="baseline"/>
        <sz val="10"/>
        <color theme="1"/>
        <name val="Calibri"/>
        <family val="2"/>
        <scheme val="minor"/>
      </font>
      <numFmt numFmtId="3" formatCode="#,##0"/>
    </dxf>
    <dxf>
      <font>
        <b val="0"/>
        <i val="0"/>
        <strike val="0"/>
        <condense val="0"/>
        <extend val="0"/>
        <outline val="0"/>
        <shadow val="0"/>
        <u val="none"/>
        <vertAlign val="baseline"/>
        <sz val="10"/>
        <color theme="1"/>
        <name val="Calibri"/>
        <family val="2"/>
        <scheme val="minor"/>
      </font>
      <numFmt numFmtId="3" formatCode="#,##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border diagonalUp="0" diagonalDown="0" outline="0">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border diagonalUp="0" diagonalDown="0" outline="0">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numFmt numFmtId="3" formatCode="#,##0"/>
    </dxf>
    <dxf>
      <font>
        <b val="0"/>
        <i val="0"/>
        <strike val="0"/>
        <condense val="0"/>
        <extend val="0"/>
        <outline val="0"/>
        <shadow val="0"/>
        <u val="none"/>
        <vertAlign val="baseline"/>
        <sz val="10"/>
        <color theme="1"/>
        <name val="Calibri"/>
        <family val="2"/>
        <scheme val="minor"/>
      </font>
      <numFmt numFmtId="3" formatCode="#,##0"/>
    </dxf>
    <dxf>
      <font>
        <b val="0"/>
        <i val="0"/>
        <strike val="0"/>
        <condense val="0"/>
        <extend val="0"/>
        <outline val="0"/>
        <shadow val="0"/>
        <u val="none"/>
        <vertAlign val="baseline"/>
        <sz val="10"/>
        <color theme="1"/>
        <name val="Calibri"/>
        <family val="2"/>
        <scheme val="minor"/>
      </font>
      <numFmt numFmtId="3" formatCode="#,##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numFmt numFmtId="3" formatCode="#,##0"/>
    </dxf>
    <dxf>
      <font>
        <b val="0"/>
        <i val="0"/>
        <strike val="0"/>
        <condense val="0"/>
        <extend val="0"/>
        <outline val="0"/>
        <shadow val="0"/>
        <u val="none"/>
        <vertAlign val="baseline"/>
        <sz val="10"/>
        <color theme="1"/>
        <name val="Calibri"/>
        <family val="2"/>
        <scheme val="minor"/>
      </font>
      <numFmt numFmtId="3" formatCode="#,##0"/>
    </dxf>
    <dxf>
      <font>
        <b val="0"/>
        <i val="0"/>
        <strike val="0"/>
        <condense val="0"/>
        <extend val="0"/>
        <outline val="0"/>
        <shadow val="0"/>
        <u val="none"/>
        <vertAlign val="baseline"/>
        <sz val="10"/>
        <color theme="1"/>
        <name val="Calibri"/>
        <family val="2"/>
        <scheme val="minor"/>
      </font>
      <numFmt numFmtId="3" formatCode="#,##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alignment horizontal="general" vertical="bottom"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border diagonalUp="0" diagonalDown="0" outline="0">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border diagonalUp="0" diagonalDown="0" outline="0">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border diagonalUp="0" diagonalDown="0" outline="0">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border diagonalUp="0" diagonalDown="0" outline="0">
        <left/>
        <right style="thin">
          <color indexed="64"/>
        </right>
        <top style="thin">
          <color indexed="64"/>
        </top>
        <bottom/>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alignment textRotation="0" wrapText="1"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0"/>
        <color theme="1"/>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0"/>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0"/>
        <color theme="1"/>
        <name val="Calibri"/>
        <family val="2"/>
        <scheme val="minor"/>
      </font>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right style="thin">
          <color indexed="64"/>
        </right>
        <top style="thin">
          <color indexed="64"/>
        </top>
        <bottom style="thin">
          <color indexed="64"/>
        </bottom>
        <vertical style="thin">
          <color indexed="64"/>
        </vertical>
        <horizontal style="thin">
          <color indexed="64"/>
        </horizontal>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0"/>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right style="thin">
          <color indexed="64"/>
        </right>
        <top style="thin">
          <color indexed="64"/>
        </top>
        <bottom style="thin">
          <color indexed="64"/>
        </bottom>
        <vertical style="thin">
          <color indexed="64"/>
        </vertical>
        <horizontal style="thin">
          <color indexed="64"/>
        </horizontal>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0"/>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0"/>
        <color theme="1"/>
        <name val="Calibri"/>
        <family val="2"/>
        <scheme val="minor"/>
      </font>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right style="thin">
          <color indexed="64"/>
        </right>
        <top style="thin">
          <color indexed="64"/>
        </top>
        <bottom style="thin">
          <color indexed="64"/>
        </bottom>
        <vertical style="thin">
          <color indexed="64"/>
        </vertical>
        <horizontal style="thin">
          <color indexed="64"/>
        </horizontal>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theme="1"/>
        <name val="Calibri"/>
        <family val="2"/>
        <scheme val="minor"/>
      </font>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0"/>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0"/>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0"/>
        <color theme="1"/>
        <name val="Calibri"/>
        <family val="2"/>
        <scheme val="minor"/>
      </font>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right style="thin">
          <color indexed="64"/>
        </right>
        <top style="thin">
          <color indexed="64"/>
        </top>
        <bottom style="thin">
          <color indexed="64"/>
        </bottom>
        <vertical style="thin">
          <color indexed="64"/>
        </vertical>
        <horizontal style="thin">
          <color indexed="64"/>
        </horizontal>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0"/>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0"/>
        <color theme="1"/>
        <name val="Calibri"/>
        <family val="2"/>
        <scheme val="minor"/>
      </font>
      <alignment horizontal="general"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right style="thin">
          <color indexed="64"/>
        </right>
        <top style="thin">
          <color indexed="64"/>
        </top>
        <bottom style="thin">
          <color indexed="64"/>
        </bottom>
        <vertical style="thin">
          <color indexed="64"/>
        </vertical>
        <horizontal style="thin">
          <color indexed="64"/>
        </horizontal>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0"/>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right style="thin">
          <color indexed="64"/>
        </right>
        <top style="thin">
          <color indexed="64"/>
        </top>
        <bottom style="thin">
          <color indexed="64"/>
        </bottom>
        <vertical style="thin">
          <color indexed="64"/>
        </vertical>
        <horizontal style="thin">
          <color indexed="64"/>
        </horizontal>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theme="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0"/>
        <color theme="1"/>
        <name val="Calibri"/>
        <family val="2"/>
        <scheme val="minor"/>
      </font>
      <border diagonalUp="0" diagonalDown="0">
        <left style="thin">
          <color indexed="64"/>
        </left>
        <right style="thin">
          <color indexed="64"/>
        </right>
        <top/>
        <bottom/>
        <vertical style="thin">
          <color indexed="64"/>
        </vertical>
        <horizontal style="thin">
          <color indexed="64"/>
        </horizontal>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0"/>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0"/>
        <color theme="1"/>
        <name val="Calibri"/>
        <family val="2"/>
        <scheme val="minor"/>
      </font>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right style="thin">
          <color indexed="64"/>
        </right>
        <top style="thin">
          <color indexed="64"/>
        </top>
        <bottom style="thin">
          <color indexed="64"/>
        </bottom>
        <vertical style="thin">
          <color indexed="64"/>
        </vertical>
        <horizontal style="thin">
          <color indexed="64"/>
        </horizontal>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theme="1"/>
        <name val="Calibri"/>
        <family val="2"/>
        <scheme val="minor"/>
      </font>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0"/>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0"/>
        <color theme="1"/>
        <name val="Calibri"/>
        <family val="2"/>
        <scheme val="minor"/>
      </font>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0"/>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border diagonalUp="0" diagonalDown="0">
        <left/>
        <right style="thin">
          <color indexed="64"/>
        </right>
        <top style="thin">
          <color indexed="64"/>
        </top>
        <bottom style="thin">
          <color indexed="64"/>
        </bottom>
        <vertical style="thin">
          <color indexed="64"/>
        </vertical>
        <horizontal style="thin">
          <color indexed="64"/>
        </horizontal>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theme="1"/>
        <name val="Calibri"/>
        <family val="2"/>
        <scheme val="minor"/>
      </font>
      <alignment horizontal="center" vertical="center" textRotation="0" wrapText="1" indent="0" justifyLastLine="0" shrinkToFit="0" readingOrder="0"/>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0"/>
        <name val="Calibri"/>
        <family val="2"/>
        <scheme val="minor"/>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Calibri"/>
        <family val="2"/>
        <scheme val="minor"/>
      </font>
      <numFmt numFmtId="3"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alignment horizontal="center" vertical="center" textRotation="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alignment horizontal="general" vertical="bottom" textRotation="0" wrapText="1" indent="0" justifyLastLine="0" shrinkToFit="0" readingOrder="0"/>
    </dxf>
    <dxf>
      <font>
        <strike val="0"/>
        <outline val="0"/>
        <shadow val="0"/>
        <u val="none"/>
        <vertAlign val="baseline"/>
        <sz val="10"/>
        <name val="Calibri"/>
        <family val="2"/>
        <scheme val="minor"/>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numFmt numFmtId="3" formatCode="#,##0"/>
    </dxf>
    <dxf>
      <font>
        <strike val="0"/>
        <outline val="0"/>
        <shadow val="0"/>
        <u val="none"/>
        <vertAlign val="baseline"/>
        <sz val="10"/>
        <name val="Calibri"/>
        <family val="2"/>
        <scheme val="minor"/>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numFmt numFmtId="3" formatCode="#,##0"/>
    </dxf>
    <dxf>
      <font>
        <strike val="0"/>
        <outline val="0"/>
        <shadow val="0"/>
        <u val="none"/>
        <vertAlign val="baseline"/>
        <sz val="10"/>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numFmt numFmtId="3" formatCode="#,##0"/>
    </dxf>
    <dxf>
      <font>
        <strike val="0"/>
        <outline val="0"/>
        <shadow val="0"/>
        <u val="none"/>
        <vertAlign val="baseline"/>
        <sz val="10"/>
        <name val="Calibri"/>
        <family val="2"/>
        <scheme val="minor"/>
      </font>
      <numFmt numFmtId="3"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dxf>
    <dxf>
      <font>
        <strike val="0"/>
        <outline val="0"/>
        <shadow val="0"/>
        <u val="none"/>
        <vertAlign val="baseline"/>
        <sz val="10"/>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dxf>
    <dxf>
      <font>
        <strike val="0"/>
        <outline val="0"/>
        <shadow val="0"/>
        <u val="none"/>
        <vertAlign val="baseline"/>
        <sz val="10"/>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dxf>
    <dxf>
      <font>
        <strike val="0"/>
        <outline val="0"/>
        <shadow val="0"/>
        <u val="none"/>
        <vertAlign val="baseline"/>
        <sz val="10"/>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dxf>
    <dxf>
      <font>
        <strike val="0"/>
        <outline val="0"/>
        <shadow val="0"/>
        <u val="none"/>
        <vertAlign val="baseline"/>
        <sz val="10"/>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dxf>
    <dxf>
      <font>
        <strike val="0"/>
        <outline val="0"/>
        <shadow val="0"/>
        <u val="none"/>
        <vertAlign val="baseline"/>
        <sz val="10"/>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dxf>
    <dxf>
      <font>
        <strike val="0"/>
        <outline val="0"/>
        <shadow val="0"/>
        <u val="none"/>
        <vertAlign val="baseline"/>
        <sz val="10"/>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dxf>
    <dxf>
      <font>
        <strike val="0"/>
        <outline val="0"/>
        <shadow val="0"/>
        <u val="none"/>
        <vertAlign val="baseline"/>
        <sz val="10"/>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dxf>
    <dxf>
      <font>
        <strike val="0"/>
        <outline val="0"/>
        <shadow val="0"/>
        <u val="none"/>
        <vertAlign val="baseline"/>
        <sz val="10"/>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alignment horizontal="center" vertical="center" textRotation="0" indent="0" justifyLastLine="0" shrinkToFit="0" readingOrder="0"/>
    </dxf>
    <dxf>
      <font>
        <strike val="0"/>
        <outline val="0"/>
        <shadow val="0"/>
        <u val="none"/>
        <vertAlign val="baseline"/>
        <sz val="10"/>
        <name val="Calibri"/>
        <family val="2"/>
        <scheme val="minor"/>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Calibri"/>
        <family val="2"/>
        <scheme val="minor"/>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Calibri"/>
        <family val="2"/>
        <scheme val="minor"/>
      </font>
      <numFmt numFmtId="3"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alignment horizontal="center" vertical="center" textRotation="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alignment horizontal="general" vertical="bottom" textRotation="0" wrapText="1" indent="0" justifyLastLine="0" shrinkToFit="0" readingOrder="0"/>
    </dxf>
    <dxf>
      <font>
        <strike val="0"/>
        <outline val="0"/>
        <shadow val="0"/>
        <u val="none"/>
        <vertAlign val="baseline"/>
        <sz val="10"/>
        <color theme="1"/>
        <name val="Calibri"/>
        <family val="2"/>
        <scheme val="minor"/>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indexed="65"/>
        </patternFill>
      </fill>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numFmt numFmtId="3" formatCode="#,##0"/>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numFmt numFmtId="3" formatCode="#,##0"/>
    </dxf>
    <dxf>
      <font>
        <strike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alignment horizontal="center" vertical="center" textRotation="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dxf>
    <dxf>
      <font>
        <strike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dxf>
    <dxf>
      <font>
        <strike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dxf>
    <dxf>
      <font>
        <strike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0"/>
        <name val="Calibri"/>
        <family val="2"/>
        <scheme val="minor"/>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Calibri"/>
        <family val="2"/>
        <scheme val="minor"/>
      </font>
      <numFmt numFmtId="3"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6327414-2B7C-46D7-929A-03BC91127505}" name="Table1" displayName="Table1" ref="A2:L15" totalsRowCount="1" headerRowDxfId="615" dataDxfId="614" totalsRowDxfId="613">
  <autoFilter ref="A2:L14" xr:uid="{86327414-2B7C-46D7-929A-03BC91127505}"/>
  <sortState xmlns:xlrd2="http://schemas.microsoft.com/office/spreadsheetml/2017/richdata2" ref="A3:L14">
    <sortCondition ref="B2:B14"/>
  </sortState>
  <tableColumns count="12">
    <tableColumn id="1" xr3:uid="{9181D635-1213-4700-8E84-47F7160AA9A0}" name="Nimetus" dataDxfId="612" totalsRowDxfId="92"/>
    <tableColumn id="2" xr3:uid="{8BCD9018-54AF-42A4-8BB9-73EFF81BFE05}" name="Kulugrupp" dataDxfId="611" totalsRowDxfId="91"/>
    <tableColumn id="3" xr3:uid="{5175BF02-F2D3-4D03-9442-D3EDFAE947DD}" name="Eelarvekonto" dataDxfId="610" totalsRowDxfId="90"/>
    <tableColumn id="4" xr3:uid="{D4E796C1-E089-4184-BE86-2D3849C49B41}" name="Eelarve liik ja objekt" dataDxfId="609" totalsRowDxfId="89"/>
    <tableColumn id="5" xr3:uid="{1E125E95-A299-448A-8927-E4FCCDF64C92}" name="Eelarve projekt" dataDxfId="608" totalsRowDxfId="88"/>
    <tableColumn id="6" xr3:uid="{8192D6BB-88F3-42FC-8204-8976075CBCBA}" name="Grant" dataDxfId="607" totalsRowDxfId="87"/>
    <tableColumn id="7" xr3:uid="{C9499C92-1B1C-4D4B-A00B-F7CC08ACAEA6}" name="Tegevusala" dataDxfId="606" totalsRowDxfId="86"/>
    <tableColumn id="8" xr3:uid="{1BAFC64C-EE5F-4C8E-A001-65074BD4549C}" name="Kuluüksus" dataDxfId="605" totalsRowDxfId="85"/>
    <tableColumn id="9" xr3:uid="{C1B586A2-19BA-4160-875C-FC01374DA712}" name="Esialgne eelarve" totalsRowFunction="sum" dataDxfId="604" totalsRowDxfId="84"/>
    <tableColumn id="10" xr3:uid="{9A097D92-FFD9-4787-A127-DA9FFF8E9B77}" name="Muudatused" totalsRowFunction="sum" dataDxfId="603" totalsRowDxfId="83"/>
    <tableColumn id="11" xr3:uid="{1541465A-019B-45AA-97A5-C6BB23B4BCFC}" name="Muudetud eelarve" totalsRowFunction="sum" dataDxfId="602" totalsRowDxfId="82"/>
    <tableColumn id="12" xr3:uid="{41C3CEDD-FEB1-446B-8341-D486D5B063A4}" name="Selgitused" dataDxfId="601" totalsRowDxfId="81"/>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469731B-7A66-48FA-B02F-FDE8A799FEB3}" name="Table111" displayName="Table111" ref="A2:L9" totalsRowCount="1" headerRowDxfId="449" dataDxfId="482" totalsRowDxfId="483">
  <autoFilter ref="A2:L8" xr:uid="{4469731B-7A66-48FA-B02F-FDE8A799FEB3}"/>
  <tableColumns count="12">
    <tableColumn id="1" xr3:uid="{23042988-0BED-4E1B-9D2A-7E4A4A23A09F}" name="Nimetus" dataDxfId="305" totalsRowDxfId="214"/>
    <tableColumn id="2" xr3:uid="{05B42B88-2F31-4637-8E85-73F2E1D3372B}" name="Kulugrupp" dataDxfId="304" totalsRowDxfId="213"/>
    <tableColumn id="3" xr3:uid="{8C1F7792-17CF-406F-AA63-F53456BB3460}" name="Eelarvekonto" dataDxfId="303" totalsRowDxfId="212"/>
    <tableColumn id="4" xr3:uid="{11F169AC-992B-477D-A5CF-0A61270EE4EC}" name="Eelarve liik ja objekt" dataDxfId="302" totalsRowDxfId="211"/>
    <tableColumn id="5" xr3:uid="{BE05596D-200B-4075-9757-2C518025F00B}" name="Eelarve projekt" dataDxfId="301" totalsRowDxfId="210"/>
    <tableColumn id="6" xr3:uid="{B88E0A6A-DDCE-4D05-AD0D-2EA6C601601B}" name="Grant" dataDxfId="300" totalsRowDxfId="209"/>
    <tableColumn id="7" xr3:uid="{645A75A2-FEFF-4C78-BCDC-18C230E58DF7}" name="Tegevusala" dataDxfId="299" totalsRowDxfId="208"/>
    <tableColumn id="8" xr3:uid="{82F47938-DA12-4A9F-BD62-85E8C45485BB}" name="Kuluüksus" dataDxfId="298" totalsRowDxfId="207"/>
    <tableColumn id="9" xr3:uid="{06D270B4-F578-48FF-A900-A07F2E6541F6}" name="Esialgne eelarve" totalsRowFunction="sum" dataDxfId="297" totalsRowDxfId="206"/>
    <tableColumn id="10" xr3:uid="{0CFA4A7E-6DA3-4DED-96E8-4C279D109717}" name="Muudatused" totalsRowFunction="sum" dataDxfId="296" totalsRowDxfId="205"/>
    <tableColumn id="11" xr3:uid="{C9130C4D-382C-4861-940B-4C00B716DD8C}" name="Muudetud eelarve" totalsRowFunction="sum" dataDxfId="295" totalsRowDxfId="204"/>
    <tableColumn id="12" xr3:uid="{CEC75F93-A347-44D4-8D44-7B155D06A6C0}" name="Selgitused" dataDxfId="294" totalsRowDxfId="203"/>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44A685B-3BB3-4A85-9227-7AABC7C82729}" name="Table113" displayName="Table113" ref="A2:L24" totalsRowCount="1" headerRowDxfId="446" dataDxfId="481" totalsRowDxfId="445" headerRowBorderDxfId="447" tableBorderDxfId="448">
  <autoFilter ref="A2:L23" xr:uid="{E44A685B-3BB3-4A85-9227-7AABC7C82729}"/>
  <sortState xmlns:xlrd2="http://schemas.microsoft.com/office/spreadsheetml/2017/richdata2" ref="A3:L23">
    <sortCondition ref="B2:B23"/>
  </sortState>
  <tableColumns count="12">
    <tableColumn id="1" xr3:uid="{A1312E1E-1CC8-4F40-A8D1-52C6CA4BD9E0}" name="Nimetus" dataDxfId="293" totalsRowDxfId="16"/>
    <tableColumn id="2" xr3:uid="{1F79A4AB-FCE1-44DD-8911-27DD0A42B533}" name="Kulugrupp" dataDxfId="292" totalsRowDxfId="15"/>
    <tableColumn id="3" xr3:uid="{15723499-F900-4440-999B-C4ECB18F9D67}" name="Eelarvekonto" dataDxfId="291" totalsRowDxfId="14"/>
    <tableColumn id="4" xr3:uid="{73BB5CB0-35CE-4DC8-94E2-D6E1A8C0AC42}" name="Eelarve liik ja objekt" dataDxfId="290" totalsRowDxfId="13"/>
    <tableColumn id="5" xr3:uid="{C357A523-F7F7-47E3-BB53-5B0153642D7F}" name="Eelarve projekt" dataDxfId="289" totalsRowDxfId="12"/>
    <tableColumn id="6" xr3:uid="{E7591CE9-B261-4141-9896-62E5A293529A}" name="Grant" dataDxfId="288" totalsRowDxfId="11"/>
    <tableColumn id="7" xr3:uid="{99C40E46-4688-406E-BF86-EBC1C79AC307}" name="Tegevusala" dataDxfId="287" totalsRowDxfId="10"/>
    <tableColumn id="8" xr3:uid="{332B703E-7A76-40BB-B22A-B1C4163B1C71}" name="Kuluüksus" dataDxfId="4" totalsRowDxfId="9"/>
    <tableColumn id="9" xr3:uid="{0B8CD78D-A203-4ECB-BBE0-55DE6862E9E2}" name="Esialgne eelarve" totalsRowFunction="sum" dataDxfId="3" totalsRowDxfId="8"/>
    <tableColumn id="10" xr3:uid="{E8A1F5BC-43C5-4409-B1FB-1BBDF3625E2B}" name="Muudatused" totalsRowFunction="sum" dataDxfId="2" totalsRowDxfId="7"/>
    <tableColumn id="11" xr3:uid="{5FB617E2-3F1D-42ED-B339-A233A13F8509}" name="Muudetud eelarve" totalsRowFunction="sum" dataDxfId="0" totalsRowDxfId="6"/>
    <tableColumn id="12" xr3:uid="{87D71908-0074-4600-AE01-029022CE6FF6}" name="Selgitused" dataDxfId="1" totalsRowDxfId="5"/>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592A5FC7-5F42-4CE0-8DA8-192FBFEC52A6}" name="Table118" displayName="Table118" ref="A2:L12" totalsRowCount="1" headerRowDxfId="431" dataDxfId="480" totalsRowDxfId="430" headerRowBorderDxfId="443" tableBorderDxfId="444">
  <autoFilter ref="A2:L11" xr:uid="{592A5FC7-5F42-4CE0-8DA8-192FBFEC52A6}"/>
  <tableColumns count="12">
    <tableColumn id="1" xr3:uid="{B4A6EE53-262A-4CDC-8B99-CF67F9EEF780}" name="Nimetus" dataDxfId="442" totalsRowDxfId="202"/>
    <tableColumn id="2" xr3:uid="{DEDF27D2-24CA-45CE-84E7-EC4D7C8099F5}" name="Kulugrupp" dataDxfId="441" totalsRowDxfId="201"/>
    <tableColumn id="3" xr3:uid="{B0EFD4FE-0EB6-4A2F-BA04-A8A0728DB208}" name="Eelarvekonto" dataDxfId="440" totalsRowDxfId="200"/>
    <tableColumn id="4" xr3:uid="{7A92A871-0575-4B4E-A8A5-F4406910AD2E}" name="Eelarve liik ja objekt" dataDxfId="439" totalsRowDxfId="199"/>
    <tableColumn id="5" xr3:uid="{E59D1EDC-9218-4E8C-8536-71D8688A701C}" name="Eelarve projekt" dataDxfId="438" totalsRowDxfId="198"/>
    <tableColumn id="6" xr3:uid="{3D20E678-25D3-42A2-B721-02829A09C3D4}" name="Grant" dataDxfId="437" totalsRowDxfId="197"/>
    <tableColumn id="7" xr3:uid="{4B4D6346-8F2B-4154-BF51-C7ED1DE44504}" name="Tegevusala" dataDxfId="436" totalsRowDxfId="196"/>
    <tableColumn id="8" xr3:uid="{5D99979D-FDD9-41D2-B348-D9201C74A462}" name="Kuluüksus" dataDxfId="435" totalsRowDxfId="195"/>
    <tableColumn id="9" xr3:uid="{363A5AD4-2030-484F-9E9D-24A8A2176F58}" name="Esialgne eelarve" totalsRowFunction="sum" dataDxfId="429" totalsRowDxfId="194"/>
    <tableColumn id="10" xr3:uid="{5607CC21-0739-4EAE-86CC-E861525C81F3}" name="Muudatused" totalsRowFunction="sum" dataDxfId="434" totalsRowDxfId="193"/>
    <tableColumn id="11" xr3:uid="{C9619DC6-9572-408D-903A-91B314137116}" name="Muudetud eelarve" totalsRowFunction="sum" dataDxfId="433" totalsRowDxfId="192"/>
    <tableColumn id="12" xr3:uid="{4BE0AD8E-608E-4D49-810A-8B145B9B07B0}" name="Selgitused" dataDxfId="432" totalsRowDxfId="191"/>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8696EE34-13F2-4F16-86A7-D4C06C8D0394}" name="Table119" displayName="Table119" ref="A2:L13" totalsRowCount="1" headerRowDxfId="425" dataDxfId="479" totalsRowDxfId="426" headerRowBorderDxfId="427" tableBorderDxfId="428">
  <autoFilter ref="A2:L12" xr:uid="{8696EE34-13F2-4F16-86A7-D4C06C8D0394}"/>
  <sortState xmlns:xlrd2="http://schemas.microsoft.com/office/spreadsheetml/2017/richdata2" ref="A3:L12">
    <sortCondition ref="B2:B12"/>
  </sortState>
  <tableColumns count="12">
    <tableColumn id="1" xr3:uid="{96F66E05-CED2-49CB-A99D-AD1C75E90C99}" name="Nimetus" dataDxfId="317" totalsRowDxfId="286"/>
    <tableColumn id="2" xr3:uid="{73C24D8F-00AE-4E63-8D91-70E37C3658FC}" name="Kulugrupp" dataDxfId="316" totalsRowDxfId="285"/>
    <tableColumn id="3" xr3:uid="{A0014DD5-6CBC-4928-9C91-FA55DB41B4AA}" name="Eelarvekonto" dataDxfId="315" totalsRowDxfId="284"/>
    <tableColumn id="4" xr3:uid="{A4F82078-D333-41C6-9D78-B6FD74A7FB19}" name="Eelarve liik ja objekt" dataDxfId="314" totalsRowDxfId="283"/>
    <tableColumn id="5" xr3:uid="{5A68FDC2-4EB0-4420-BDF5-932A1A7FE1DF}" name="Eelarve projekt" dataDxfId="313" totalsRowDxfId="282"/>
    <tableColumn id="6" xr3:uid="{37F7B7AE-1FB1-402E-BB8C-F5FFF36B18FB}" name="Grant" dataDxfId="312" totalsRowDxfId="281"/>
    <tableColumn id="7" xr3:uid="{D8678850-364A-442C-BBF0-5BFAFBC58842}" name="Tegevusala" dataDxfId="311" totalsRowDxfId="280"/>
    <tableColumn id="8" xr3:uid="{598F8044-5B90-44B4-A2E3-49CFF7BA691F}" name="Kuluüksus" dataDxfId="310" totalsRowDxfId="279"/>
    <tableColumn id="9" xr3:uid="{F09CA682-8028-45FB-8565-7DBF517D4874}" name="Esialgne eelarve" totalsRowFunction="sum" dataDxfId="309" totalsRowDxfId="278"/>
    <tableColumn id="10" xr3:uid="{4C374E03-879C-49E9-9B00-067C5246A546}" name="Muudatused" totalsRowFunction="sum" dataDxfId="308" totalsRowDxfId="277"/>
    <tableColumn id="11" xr3:uid="{529CC0E6-0398-42E9-A363-5099C268DA59}" name="Muudetud eelarve" totalsRowFunction="sum" dataDxfId="307" totalsRowDxfId="276"/>
    <tableColumn id="12" xr3:uid="{9FBA2850-2618-4FC6-ADAF-E57BE7ED7379}" name="Selgitused" dataDxfId="306" totalsRowDxfId="275"/>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A4BF865D-3437-42E3-AA26-EAE3DBCB71F6}" name="Table120" displayName="Table120" ref="A2:L6" totalsRowCount="1" headerRowDxfId="413" dataDxfId="478" totalsRowDxfId="412" headerRowBorderDxfId="423" tableBorderDxfId="424">
  <autoFilter ref="A2:L5" xr:uid="{A4BF865D-3437-42E3-AA26-EAE3DBCB71F6}"/>
  <tableColumns count="12">
    <tableColumn id="1" xr3:uid="{6F377219-FE9D-4D6A-8B48-3102A2973C18}" name="Nimetus" dataDxfId="422" totalsRowDxfId="190"/>
    <tableColumn id="2" xr3:uid="{00598757-98FE-46B5-9772-ACE14FF383AA}" name="Kulugrupp" dataDxfId="421" totalsRowDxfId="189"/>
    <tableColumn id="3" xr3:uid="{6FB42D6D-19E6-4695-BBEA-EA645855119F}" name="Eelarvekonto" dataDxfId="420" totalsRowDxfId="188"/>
    <tableColumn id="4" xr3:uid="{6D95555E-0CF3-4E34-B0FB-B73E222833AA}" name="Eelarve liik ja objekt" dataDxfId="419" totalsRowDxfId="187"/>
    <tableColumn id="5" xr3:uid="{6A3AFB46-8336-4A36-ACD7-4F832D93C24A}" name="Eelarve projekt" dataDxfId="418" totalsRowDxfId="186"/>
    <tableColumn id="6" xr3:uid="{EB985427-BF91-4FBB-8C66-95FD83CF3DE9}" name="Grant" dataDxfId="417" totalsRowDxfId="185"/>
    <tableColumn id="7" xr3:uid="{4E231835-ADC2-4B40-A45E-FA4BC40D22FF}" name="Tegevusala" dataDxfId="416" totalsRowDxfId="184"/>
    <tableColumn id="8" xr3:uid="{DE84BE28-F574-42E9-AAF8-488CBE636324}" name="Kuluüksus" dataDxfId="415" totalsRowDxfId="183"/>
    <tableColumn id="9" xr3:uid="{4EC72296-0006-4309-B599-DB1624325948}" name="Esialgne eelarve" totalsRowFunction="sum" dataDxfId="411" totalsRowDxfId="182"/>
    <tableColumn id="10" xr3:uid="{848C0E29-7132-4E14-98B4-C9CE5B566223}" name="Muudatused" totalsRowFunction="sum" dataDxfId="414" totalsRowDxfId="181"/>
    <tableColumn id="11" xr3:uid="{D1FFE6FC-48CB-455C-9993-847830AAFAB5}" name="Muudetud eelarve" totalsRowFunction="sum" dataDxfId="178" totalsRowDxfId="180"/>
    <tableColumn id="12" xr3:uid="{523842A2-B589-4D39-B4A5-F9533E42AFDB}" name="Selgitused" dataDxfId="177" totalsRowDxfId="179"/>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AD7D1754-B0FD-4D48-917F-A9CF88973BD2}" name="Table122" displayName="Table122" ref="A2:L6" totalsRowCount="1" headerRowDxfId="397" dataDxfId="477" totalsRowDxfId="396" headerRowBorderDxfId="409" tableBorderDxfId="410">
  <autoFilter ref="A2:L5" xr:uid="{AD7D1754-B0FD-4D48-917F-A9CF88973BD2}"/>
  <tableColumns count="12">
    <tableColumn id="1" xr3:uid="{585F7D2C-8A1A-4FE0-8CF6-B6C5B0EC107D}" name="Nimetus" dataDxfId="408" totalsRowDxfId="274"/>
    <tableColumn id="2" xr3:uid="{2C9B5A72-E0CC-41BD-BAE2-238555B7400C}" name="Kulugrupp" dataDxfId="407" totalsRowDxfId="273"/>
    <tableColumn id="3" xr3:uid="{EBECE81D-6B24-4768-B8F4-097CDF6C6E68}" name="Eelarvekonto" dataDxfId="406" totalsRowDxfId="272"/>
    <tableColumn id="4" xr3:uid="{D981901F-4CEE-4BA9-964C-F16FECF6C044}" name="Eelarve liik ja objekt" dataDxfId="405" totalsRowDxfId="271"/>
    <tableColumn id="5" xr3:uid="{01865157-73EC-4EF3-BD05-FA22E8229D39}" name="Eelarve projekt" dataDxfId="404" totalsRowDxfId="270"/>
    <tableColumn id="6" xr3:uid="{5F1AE831-7F7C-4DF5-8902-4F300683BDEA}" name="Grant" dataDxfId="403" totalsRowDxfId="269"/>
    <tableColumn id="7" xr3:uid="{0EC1DDE0-3678-443B-8014-2C3A0100B813}" name="Tegevusala" dataDxfId="402" totalsRowDxfId="268"/>
    <tableColumn id="8" xr3:uid="{60DEF550-0C5B-480F-A1BE-6802AAEDBB09}" name="Kuluüksus" dataDxfId="401" totalsRowDxfId="267"/>
    <tableColumn id="9" xr3:uid="{1FD7C41C-8B1A-4E36-BD58-DFCA2A58BB6B}" name="Esialgne eelarve" totalsRowFunction="sum" dataDxfId="395" totalsRowDxfId="266"/>
    <tableColumn id="10" xr3:uid="{8407572E-55AF-40B7-B915-D6237B869FBA}" name="Muudatused" totalsRowFunction="sum" dataDxfId="400" totalsRowDxfId="265"/>
    <tableColumn id="11" xr3:uid="{C139D14B-280F-4060-9091-2AE0EA9C3D0F}" name="Muudetud eelarve" totalsRowFunction="sum" dataDxfId="399" totalsRowDxfId="264"/>
    <tableColumn id="12" xr3:uid="{729B2333-3AFD-4D5C-A75E-E0D6D599CA65}" name="Selgitused" dataDxfId="398" totalsRowDxfId="263"/>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A1869602-E23F-42B3-9A2C-5A7DDB23EFAB}" name="Table123" displayName="Table123" ref="A2:L7" totalsRowCount="1" headerRowDxfId="381" dataDxfId="476" totalsRowDxfId="380" headerRowBorderDxfId="393" tableBorderDxfId="394">
  <autoFilter ref="A2:L6" xr:uid="{A1869602-E23F-42B3-9A2C-5A7DDB23EFAB}"/>
  <tableColumns count="12">
    <tableColumn id="1" xr3:uid="{458C9AA4-82AE-493B-8526-F442A983222E}" name="Nimetus" dataDxfId="392" totalsRowDxfId="164"/>
    <tableColumn id="2" xr3:uid="{A35FA790-E110-4050-80D5-BD2BDB1E9D7C}" name="Kulugrupp" dataDxfId="391" totalsRowDxfId="163"/>
    <tableColumn id="3" xr3:uid="{998C4E2C-C769-46EC-8DA8-08A2DF5EE7CC}" name="Eelarvekonto" dataDxfId="390" totalsRowDxfId="162"/>
    <tableColumn id="4" xr3:uid="{C1BC2662-27BF-44C3-9E8A-EC825CD0A331}" name="Eelarve liik ja objekt" dataDxfId="389" totalsRowDxfId="161"/>
    <tableColumn id="5" xr3:uid="{83D7DDFE-276D-4B6B-BB72-5F0AEE238E0E}" name="Eelarve projekt" dataDxfId="388" totalsRowDxfId="160"/>
    <tableColumn id="6" xr3:uid="{B3A2B32A-6A2F-41AA-8428-CB55A9475E87}" name="Grant" dataDxfId="387" totalsRowDxfId="159"/>
    <tableColumn id="7" xr3:uid="{D71EC981-FAF6-453B-9A7C-F81644612420}" name="Tegevusala" dataDxfId="386" totalsRowDxfId="158"/>
    <tableColumn id="8" xr3:uid="{8E412388-AF6C-4A23-AF54-2822C5D6DF88}" name="Kuluüksus" dataDxfId="385" totalsRowDxfId="157"/>
    <tableColumn id="9" xr3:uid="{895EF24B-E497-4140-A32C-6209AE1D9B9B}" name="Esialgne eelarve" totalsRowFunction="sum" dataDxfId="379" totalsRowDxfId="156"/>
    <tableColumn id="10" xr3:uid="{99E4DB8A-DEBD-4199-90D6-7A64D72266B8}" name="Muudatused" totalsRowFunction="sum" dataDxfId="384" totalsRowDxfId="155"/>
    <tableColumn id="11" xr3:uid="{50AA3083-B7CD-473F-AAD5-10137E9C501B}" name="Muudetud eelarve" totalsRowFunction="sum" dataDxfId="383" totalsRowDxfId="154"/>
    <tableColumn id="12" xr3:uid="{8203A7C6-F380-4D31-A48B-9F2045AFF0B4}" name="Selgitused" dataDxfId="382" totalsRowDxfId="153"/>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BF7112A-ADC3-47E4-96B7-4EC62B27B898}" name="Table124" displayName="Table124" ref="A2:L12" totalsRowCount="1" headerRowDxfId="376" dataDxfId="475" totalsRowDxfId="375" headerRowBorderDxfId="377" tableBorderDxfId="378">
  <autoFilter ref="A2:L11" xr:uid="{0BF7112A-ADC3-47E4-96B7-4EC62B27B898}"/>
  <sortState xmlns:xlrd2="http://schemas.microsoft.com/office/spreadsheetml/2017/richdata2" ref="A3:L11">
    <sortCondition ref="B2:B11"/>
  </sortState>
  <tableColumns count="12">
    <tableColumn id="1" xr3:uid="{30F99524-70EE-4B7A-87F7-1E6B3D48E71E}" name="Nimetus" dataDxfId="140" totalsRowDxfId="28"/>
    <tableColumn id="2" xr3:uid="{272F37AD-C082-4DAB-8249-25E166452892}" name="Kulugrupp" dataDxfId="139" totalsRowDxfId="27"/>
    <tableColumn id="3" xr3:uid="{05844AED-1C10-4180-8ECE-2252BC4192FC}" name="Eelarvekonto" dataDxfId="138" totalsRowDxfId="26"/>
    <tableColumn id="4" xr3:uid="{9FFFD572-95E3-457A-8EFF-907EABD22D5B}" name="Eelarve liik ja objekt" dataDxfId="137" totalsRowDxfId="25"/>
    <tableColumn id="5" xr3:uid="{1480C9E9-ADDE-4282-B75A-030590BA5B6A}" name="Eelarve projekt" dataDxfId="136" totalsRowDxfId="24"/>
    <tableColumn id="6" xr3:uid="{0CE7F9AB-52EB-4E0E-80AA-28DCB16D02A2}" name="Grant" dataDxfId="135" totalsRowDxfId="23"/>
    <tableColumn id="7" xr3:uid="{03EA8343-F6E8-415E-A46D-85EE71A3ECAB}" name="Tegevusala" dataDxfId="134" totalsRowDxfId="22"/>
    <tableColumn id="8" xr3:uid="{07BEEB8F-9B78-4284-835B-33897362CE66}" name="Kuluüksus" dataDxfId="133" totalsRowDxfId="21"/>
    <tableColumn id="9" xr3:uid="{CE195297-A8B5-428D-AB67-9A63574A33EE}" name="Esialgne eelarve" totalsRowFunction="sum" dataDxfId="132" totalsRowDxfId="20"/>
    <tableColumn id="10" xr3:uid="{DDD3C923-AD90-4AB8-AE21-59CEF2F1BC2F}" name="Muudatused" totalsRowFunction="sum" dataDxfId="131" totalsRowDxfId="19"/>
    <tableColumn id="11" xr3:uid="{C564E93C-66DD-409C-A4D8-5640B75537D9}" name="Muudetud eelarve" totalsRowFunction="sum" dataDxfId="130" totalsRowDxfId="18"/>
    <tableColumn id="12" xr3:uid="{C4E4FEF8-BA2A-4DFB-BB50-14598EAA8888}" name="Selgitused" dataDxfId="129" totalsRowDxfId="17"/>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75C8AB75-4AEC-4512-BDF2-F3392F3AF733}" name="Table125" displayName="Table125" ref="A2:L27" totalsRowCount="1" headerRowDxfId="467" dataDxfId="473" totalsRowDxfId="474">
  <autoFilter ref="A2:L26" xr:uid="{75C8AB75-4AEC-4512-BDF2-F3392F3AF733}"/>
  <sortState xmlns:xlrd2="http://schemas.microsoft.com/office/spreadsheetml/2017/richdata2" ref="A3:L26">
    <sortCondition ref="B2:B26"/>
  </sortState>
  <tableColumns count="12">
    <tableColumn id="1" xr3:uid="{6187C6FA-9AB7-45A2-AC19-F47E04554B95}" name="Nimetus" dataDxfId="128" totalsRowDxfId="119"/>
    <tableColumn id="2" xr3:uid="{76377486-35BA-4094-881A-BB59535656C0}" name="Kulugrupp" dataDxfId="127" totalsRowDxfId="118"/>
    <tableColumn id="3" xr3:uid="{C1D4D04B-B83B-479A-9B4B-B12BA59F2400}" name="Eelarvekonto" dataDxfId="126" totalsRowDxfId="117"/>
    <tableColumn id="4" xr3:uid="{FD13FD6E-9C46-4571-94EB-048EC5FC9D1D}" name="Eelarve liik ja objekt" dataDxfId="125" totalsRowDxfId="116"/>
    <tableColumn id="5" xr3:uid="{2EE148DC-18FC-4922-84ED-70F75B10AF4E}" name="Eelarve projekt" dataDxfId="124" totalsRowDxfId="115"/>
    <tableColumn id="6" xr3:uid="{8AAC839C-E8AD-466A-AB72-21BC57B16D13}" name="Grant" dataDxfId="123" totalsRowDxfId="114"/>
    <tableColumn id="7" xr3:uid="{509DE078-4C3F-4061-91C6-669009E1E82C}" name="Tegevusala" dataDxfId="122" totalsRowDxfId="113"/>
    <tableColumn id="8" xr3:uid="{203C1BD5-0022-459E-9E55-8B035FFD95BF}" name="Kuluüksus" dataDxfId="121" totalsRowDxfId="112"/>
    <tableColumn id="9" xr3:uid="{9961608C-BB82-4ADB-BEC8-869588B5B01A}" name="Esialgne eelarve" totalsRowFunction="sum" dataDxfId="120" totalsRowDxfId="111"/>
    <tableColumn id="10" xr3:uid="{6E15696C-2D2C-4175-B694-17EC6CD1B084}" name="Muudatused" totalsRowFunction="sum" dataDxfId="107" totalsRowDxfId="110"/>
    <tableColumn id="11" xr3:uid="{444BEB32-42BF-4071-A846-8BC8AAE53FA7}" name="Muudetud eelarve" totalsRowFunction="sum" dataDxfId="105" totalsRowDxfId="109"/>
    <tableColumn id="12" xr3:uid="{F4428BD8-24E3-430E-BD07-C67BCCEB2546}" name="Selgitused" dataDxfId="106" totalsRowDxfId="108"/>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721C7512-4452-497B-9F71-3051D7AF6DFF}" name="Table128" displayName="Table128" ref="A2:L8" totalsRowCount="1" headerRowDxfId="361" dataDxfId="472" totalsRowDxfId="360" headerRowBorderDxfId="373" tableBorderDxfId="374">
  <autoFilter ref="A2:L7" xr:uid="{721C7512-4452-497B-9F71-3051D7AF6DFF}"/>
  <tableColumns count="12">
    <tableColumn id="1" xr3:uid="{FBE3335F-6CA8-46AF-AF9F-8842E3868D66}" name="Nimetus" dataDxfId="372" totalsRowDxfId="104"/>
    <tableColumn id="2" xr3:uid="{35866DC6-9A0B-4333-98C3-37902D4FB82F}" name="Kulugrupp" dataDxfId="371" totalsRowDxfId="103"/>
    <tableColumn id="3" xr3:uid="{493313C1-AFFF-4CCA-8508-5CA9C8EA0373}" name="Eelarvekonto" dataDxfId="370" totalsRowDxfId="102"/>
    <tableColumn id="4" xr3:uid="{96C496AA-4628-4E31-9605-BAFD3824E2A5}" name="Eelarve liik ja objekt" dataDxfId="369" totalsRowDxfId="101"/>
    <tableColumn id="5" xr3:uid="{4AF90F0D-2EBF-4231-B227-A55BCF7F9410}" name="Eelarve projekt" dataDxfId="368" totalsRowDxfId="100"/>
    <tableColumn id="6" xr3:uid="{BEA567A8-9091-44B5-B266-C0E408E59260}" name="Grant" dataDxfId="367" totalsRowDxfId="99"/>
    <tableColumn id="7" xr3:uid="{58EC8158-794C-4DE4-93AD-E29AD5AE6159}" name="Tegevusala" dataDxfId="366" totalsRowDxfId="98"/>
    <tableColumn id="8" xr3:uid="{38DEB1E3-D334-4FC3-AD6F-E9ABD13C4F4A}" name="Kuluüksus" dataDxfId="365" totalsRowDxfId="97"/>
    <tableColumn id="9" xr3:uid="{05FFBD6C-11DD-41EF-84CC-34ADBBF69AF9}" name="Esialgne eelarve" totalsRowFunction="sum" dataDxfId="359" totalsRowDxfId="96"/>
    <tableColumn id="10" xr3:uid="{2A0F7054-160F-4998-9486-D15D3D20AF8A}" name="Muudatused" totalsRowFunction="sum" dataDxfId="364" totalsRowDxfId="95"/>
    <tableColumn id="11" xr3:uid="{75EF1AA6-0A5E-415D-B86C-7B6EFE6CA33C}" name="Muudetud eelarve" totalsRowFunction="sum" dataDxfId="363" totalsRowDxfId="94"/>
    <tableColumn id="12" xr3:uid="{6CC91853-8DEB-42FC-9A0C-A76A029313AA}" name="Selgitused" dataDxfId="362" totalsRowDxfId="9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EFFF101-D1AE-4371-A03B-59E2DDA13B1E}" name="Table18" displayName="Table18" ref="A2:L16" totalsRowCount="1" headerRowDxfId="600" dataDxfId="599" totalsRowDxfId="598">
  <autoFilter ref="A2:L15" xr:uid="{6EFFF101-D1AE-4371-A03B-59E2DDA13B1E}"/>
  <sortState xmlns:xlrd2="http://schemas.microsoft.com/office/spreadsheetml/2017/richdata2" ref="A3:L15">
    <sortCondition ref="F2:F15"/>
  </sortState>
  <tableColumns count="12">
    <tableColumn id="1" xr3:uid="{74FF4270-E7D5-4D92-9063-F480105D5914}" name="Nimetus" dataDxfId="597" totalsRowDxfId="596"/>
    <tableColumn id="2" xr3:uid="{CA49A360-EB92-461E-9EAD-E23CD0F0593D}" name="Kulugrupp" dataDxfId="595" totalsRowDxfId="594"/>
    <tableColumn id="3" xr3:uid="{7D18C167-2E69-485A-86D9-2A5ED2FEA20D}" name="Eelarvekonto" dataDxfId="593" totalsRowDxfId="592"/>
    <tableColumn id="4" xr3:uid="{1813B655-4AEC-4A19-A6D3-1C9ADFA652A5}" name="Eelarve liik ja objekt" dataDxfId="591" totalsRowDxfId="590"/>
    <tableColumn id="5" xr3:uid="{85FCDA13-D3FF-4487-ABC2-05B9F59CA1DE}" name="Eelarve projekt" dataDxfId="589" totalsRowDxfId="588"/>
    <tableColumn id="6" xr3:uid="{3AF2CC22-E0A7-485E-9327-361DB20CB350}" name="Grant" dataDxfId="587" totalsRowDxfId="586"/>
    <tableColumn id="7" xr3:uid="{6EA494E8-F888-4434-8518-3B9C746BE583}" name="Tegevusala" dataDxfId="585" totalsRowDxfId="584"/>
    <tableColumn id="8" xr3:uid="{8C332CC7-669B-4F5C-8BC9-D6EB2491C602}" name="Kuluüksus" dataDxfId="583" totalsRowDxfId="582"/>
    <tableColumn id="9" xr3:uid="{5EC66F8D-3E64-4E80-8984-724F1AAF56B1}" name="Esialgne eelarve" totalsRowFunction="sum" dataDxfId="581" totalsRowDxfId="580"/>
    <tableColumn id="10" xr3:uid="{C414DC2B-7FDC-49F6-A636-1B850509D9E7}" name="Muudatused" totalsRowFunction="sum" dataDxfId="579" totalsRowDxfId="578"/>
    <tableColumn id="11" xr3:uid="{35280A68-6362-4497-8C5C-62B40A0EE1E5}" name="Muudetud eelarve" totalsRowFunction="sum" dataDxfId="577" totalsRowDxfId="576"/>
    <tableColumn id="12" xr3:uid="{3646BAD3-199D-4F22-A1ED-8CA0D75B7439}" name="Selgitused" dataDxfId="575" totalsRowDxfId="574"/>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B3131F3C-50B6-474E-A05D-E5E22ACE59BC}" name="Table130" displayName="Table130" ref="A2:L12" totalsRowCount="1" headerRowDxfId="59" dataDxfId="470" totalsRowDxfId="471">
  <autoFilter ref="A2:L11" xr:uid="{B3131F3C-50B6-474E-A05D-E5E22ACE59BC}"/>
  <sortState xmlns:xlrd2="http://schemas.microsoft.com/office/spreadsheetml/2017/richdata2" ref="A3:L11">
    <sortCondition ref="B2:B11"/>
  </sortState>
  <tableColumns count="12">
    <tableColumn id="1" xr3:uid="{B5EDFC1D-A331-4F62-952D-61FE4CF28CC8}" name="Nimetus" dataDxfId="68" totalsRowDxfId="80"/>
    <tableColumn id="2" xr3:uid="{7D681ABD-0B21-486C-87B7-B446014D03B3}" name="Kulugrupp" dataDxfId="67" totalsRowDxfId="79"/>
    <tableColumn id="3" xr3:uid="{97CDC473-2369-4C5A-B18E-FCDA98F4408E}" name="Eelarvekonto" dataDxfId="66" totalsRowDxfId="78"/>
    <tableColumn id="4" xr3:uid="{BA35720D-CCDD-4805-9DA4-CD6E4B4B5536}" name="Eelarve liik ja objekt" dataDxfId="65" totalsRowDxfId="77"/>
    <tableColumn id="5" xr3:uid="{6F5AD6F1-D26F-421A-9F00-E8D0C6A9DEC9}" name="Eelarve projekt" dataDxfId="64" totalsRowDxfId="76"/>
    <tableColumn id="6" xr3:uid="{DE7DF4BD-2021-408C-84B9-C88B80FB1F73}" name="Grant" dataDxfId="63" totalsRowDxfId="75"/>
    <tableColumn id="7" xr3:uid="{8D57D5C6-A72B-4C68-9F12-0FECE00437F1}" name="Tegevusala" dataDxfId="62" totalsRowDxfId="74"/>
    <tableColumn id="8" xr3:uid="{87BA932D-4189-4203-88B0-340EA4536E61}" name="Kuluüksus" dataDxfId="61" totalsRowDxfId="73"/>
    <tableColumn id="9" xr3:uid="{BBC7FE16-E695-41A5-BAC3-127D2ABE4D31}" name="Esialgne eelarve" totalsRowFunction="sum" dataDxfId="60" totalsRowDxfId="72"/>
    <tableColumn id="10" xr3:uid="{28B23164-E89D-40F3-8836-3D64C39AA35E}" name="Muudatused" totalsRowFunction="sum" dataDxfId="58" totalsRowDxfId="71"/>
    <tableColumn id="11" xr3:uid="{20291735-C80E-4172-8AE2-25C9A45351D7}" name="Muudetud eelarve" totalsRowFunction="sum" dataDxfId="56" totalsRowDxfId="70"/>
    <tableColumn id="12" xr3:uid="{0FD0974D-DFDF-4C86-BBD2-01EF5F778716}" name="Selgitused" dataDxfId="57" totalsRowDxfId="69"/>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B7BF1540-67C4-4AA3-A973-D31C7FC4F897}" name="Table127" displayName="Table127" ref="A2:L16" totalsRowCount="1" headerRowDxfId="348" dataDxfId="469" totalsRowDxfId="347" headerRowBorderDxfId="357" tableBorderDxfId="358">
  <autoFilter ref="A2:L15" xr:uid="{B7BF1540-67C4-4AA3-A973-D31C7FC4F897}"/>
  <tableColumns count="12">
    <tableColumn id="1" xr3:uid="{F706E265-657F-4617-A6BB-6EFA76ECAE83}" name="Nimetus" dataDxfId="356" totalsRowDxfId="55"/>
    <tableColumn id="2" xr3:uid="{E196FCF0-6EA6-44B0-8AB8-2FA010DAF5C5}" name="Kulugrupp" dataDxfId="355" totalsRowDxfId="54"/>
    <tableColumn id="3" xr3:uid="{EA84C8AA-2655-42FC-BC79-69020FD65A29}" name="Eelarvekonto" dataDxfId="354" totalsRowDxfId="53"/>
    <tableColumn id="4" xr3:uid="{661DCAAF-4A97-4816-B41F-1DABD555A5B3}" name="Eelarve liik ja objekt" dataDxfId="353" totalsRowDxfId="52"/>
    <tableColumn id="5" xr3:uid="{EB4182A0-54AF-44C5-8BF3-53A87E876A54}" name="Eelarve projekt" dataDxfId="352" totalsRowDxfId="51"/>
    <tableColumn id="6" xr3:uid="{09F1A004-F3FF-435E-933D-B0CFABDD6455}" name="Grant" dataDxfId="351" totalsRowDxfId="50"/>
    <tableColumn id="7" xr3:uid="{EF86E3A7-139B-4FC8-9D74-05FFB3F72FF2}" name="Tegevusala" dataDxfId="350" totalsRowDxfId="49"/>
    <tableColumn id="8" xr3:uid="{0A234925-A21A-425C-98AB-28F9F2916516}" name="Kuluüksus" dataDxfId="349" totalsRowDxfId="48"/>
    <tableColumn id="9" xr3:uid="{A3005A89-24CF-4059-A228-F3E5FFCA8E02}" name="Esialgne eelarve" totalsRowFunction="sum" dataDxfId="346" totalsRowDxfId="47"/>
    <tableColumn id="10" xr3:uid="{FD8EA3CE-21D5-41BE-924E-80EF8DD432A5}" name="Muudatused" totalsRowFunction="sum" dataDxfId="31" totalsRowDxfId="46"/>
    <tableColumn id="11" xr3:uid="{545CF40F-4F0D-4397-BC8E-B22702394853}" name="Muudetud eelarve" totalsRowFunction="sum" dataDxfId="29" totalsRowDxfId="45"/>
    <tableColumn id="12" xr3:uid="{D664C99D-B7BA-45AF-9011-E8BE07705192}" name="Selgitused" dataDxfId="30" totalsRowDxfId="44"/>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943CECF-AC09-4639-A593-961E24383AD7}" name="Table16" displayName="Table16" ref="A2:L9" totalsRowCount="1" headerRowDxfId="332" dataDxfId="468" totalsRowDxfId="331" headerRowBorderDxfId="344" tableBorderDxfId="345">
  <autoFilter ref="A2:L8" xr:uid="{E943CECF-AC09-4639-A593-961E24383AD7}"/>
  <tableColumns count="12">
    <tableColumn id="1" xr3:uid="{8287D429-DA81-4DB2-8AE4-F8E37673E1D3}" name="Nimetus" dataDxfId="343" totalsRowDxfId="262"/>
    <tableColumn id="2" xr3:uid="{640FB6BF-C18D-48E4-A0A3-D0DC84293C80}" name="Kulugrupp" dataDxfId="342" totalsRowDxfId="261"/>
    <tableColumn id="3" xr3:uid="{50FE6825-350E-4733-A192-2AA3B01D57D6}" name="Eelarvekonto" dataDxfId="341" totalsRowDxfId="260"/>
    <tableColumn id="4" xr3:uid="{5BB1ED22-D2F7-49BB-B446-50353EAE9448}" name="Eelarve liik ja objekt" dataDxfId="340" totalsRowDxfId="259"/>
    <tableColumn id="5" xr3:uid="{82C01755-14B1-445B-8FFB-B79F1D6994FF}" name="Eelarve projekt" dataDxfId="339" totalsRowDxfId="258"/>
    <tableColumn id="6" xr3:uid="{6DD9C804-6C01-40C8-AF5C-8C92DDC0CAC7}" name="Grant" dataDxfId="338" totalsRowDxfId="257"/>
    <tableColumn id="7" xr3:uid="{B7334AF4-D6E1-4672-8781-C0A84FF498F9}" name="Tegevusala" dataDxfId="337" totalsRowDxfId="256"/>
    <tableColumn id="8" xr3:uid="{4EB9EB02-2893-4575-B194-4C7082A4E41F}" name="Kuluüksus" dataDxfId="336" totalsRowDxfId="255"/>
    <tableColumn id="9" xr3:uid="{D87B7589-04E4-447B-8E57-ABC121A3D34B}" name="Esialgne eelarve" totalsRowFunction="sum" dataDxfId="330" totalsRowDxfId="254"/>
    <tableColumn id="10" xr3:uid="{744A7073-D8D2-471A-B1B1-6FD307178D62}" name="Muudatused" totalsRowFunction="sum" dataDxfId="335" totalsRowDxfId="253"/>
    <tableColumn id="11" xr3:uid="{1F7D60D0-757C-4E39-A724-33D3EE2512CD}" name="Muudetud eelarve" totalsRowFunction="sum" dataDxfId="334" totalsRowDxfId="252"/>
    <tableColumn id="12" xr3:uid="{E56C020D-A7C3-4F27-9D6F-19731B0129A7}" name="Selgitused" dataDxfId="333" totalsRowDxfId="25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16C27E22-64A7-48EB-9426-511BCF8EDEB2}" name="Table110" displayName="Table110" ref="A2:L13" totalsRowCount="1" headerRowDxfId="573" dataDxfId="572" totalsRowDxfId="571">
  <autoFilter ref="A2:L12" xr:uid="{16C27E22-64A7-48EB-9426-511BCF8EDEB2}"/>
  <sortState xmlns:xlrd2="http://schemas.microsoft.com/office/spreadsheetml/2017/richdata2" ref="A3:L12">
    <sortCondition ref="A2:A12"/>
  </sortState>
  <tableColumns count="12">
    <tableColumn id="1" xr3:uid="{69023522-59F7-482B-AC4E-B02AEA177350}" name="Nimetus" dataDxfId="570" totalsRowDxfId="569"/>
    <tableColumn id="2" xr3:uid="{271AF272-3FFE-43F9-AB36-03CD1AD1C85E}" name="Kulugrupp" dataDxfId="568" totalsRowDxfId="567"/>
    <tableColumn id="3" xr3:uid="{F247D48F-0456-4064-BA4E-EDF442B28E57}" name="Eelarvekonto" dataDxfId="566" totalsRowDxfId="565"/>
    <tableColumn id="4" xr3:uid="{CCF4E58F-6049-4C6C-9F71-5D9F145F6D4E}" name="Eelarve liik ja objekt" dataDxfId="564" totalsRowDxfId="563"/>
    <tableColumn id="5" xr3:uid="{5C8CA288-0A0F-4419-BAA8-F6B57126DE77}" name="Eelarve projekt" dataDxfId="562" totalsRowDxfId="561"/>
    <tableColumn id="6" xr3:uid="{2164188D-21B4-4F01-9692-5806C24305C1}" name="Grant" dataDxfId="560" totalsRowDxfId="559"/>
    <tableColumn id="7" xr3:uid="{AFFD3A16-3E1D-4439-9DD4-FEC8AC00D8AF}" name="Tegevusala" dataDxfId="558" totalsRowDxfId="557"/>
    <tableColumn id="8" xr3:uid="{B6C66495-29D1-4DD8-A6B9-90FA3C223CB8}" name="Kuluüksus" dataDxfId="556" totalsRowDxfId="555"/>
    <tableColumn id="9" xr3:uid="{FBA7F92E-9A32-470D-BC38-F93550921AD9}" name="Esialgne eelarve" totalsRowFunction="sum" dataDxfId="554" totalsRowDxfId="553"/>
    <tableColumn id="10" xr3:uid="{8640E013-9869-4B39-BCE0-F9CBD50443C3}" name="Muudatused" totalsRowFunction="sum" dataDxfId="552" totalsRowDxfId="551"/>
    <tableColumn id="11" xr3:uid="{23EAE9E5-ADE6-44F9-9C40-27BF5691B613}" name="Muudetud eelarve" totalsRowFunction="sum" dataDxfId="550" totalsRowDxfId="549"/>
    <tableColumn id="12" xr3:uid="{AFCEFFED-E1FE-4832-9167-D5C6E972C93D}" name="Selgitused" dataDxfId="548" totalsRowDxfId="547"/>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4961D58D-F610-4542-9834-DE4266C97028}" name="Table112" displayName="Table112" ref="A2:L7" totalsRowCount="1" headerRowDxfId="546" dataDxfId="545" totalsRowDxfId="544">
  <autoFilter ref="A2:L6" xr:uid="{4961D58D-F610-4542-9834-DE4266C97028}"/>
  <sortState xmlns:xlrd2="http://schemas.microsoft.com/office/spreadsheetml/2017/richdata2" ref="A3:L6">
    <sortCondition ref="B2:B6"/>
  </sortState>
  <tableColumns count="12">
    <tableColumn id="1" xr3:uid="{98990847-D815-4F95-9F67-D8AF77C843C5}" name="Nimetus" dataDxfId="543" totalsRowDxfId="176"/>
    <tableColumn id="2" xr3:uid="{BF6D67A0-6C10-430D-A3C9-0D55F4F5016F}" name="Kulugrupp" dataDxfId="542" totalsRowDxfId="175"/>
    <tableColumn id="3" xr3:uid="{2DEF2B6D-E088-4573-AAD1-0C7666F9A5DC}" name="Eelarvekonto" dataDxfId="541" totalsRowDxfId="174"/>
    <tableColumn id="4" xr3:uid="{373DF14B-7566-4081-B7E2-4F9A65368AA5}" name="Eelarve liik ja objekt" dataDxfId="540" totalsRowDxfId="173"/>
    <tableColumn id="5" xr3:uid="{81882ECD-4899-4C0F-8FF5-F6162DE702D1}" name="Eelarve projekt" dataDxfId="539" totalsRowDxfId="172"/>
    <tableColumn id="6" xr3:uid="{64D8385A-4D93-4E25-B40A-F327BBB3CA3F}" name="Grant" dataDxfId="538" totalsRowDxfId="171"/>
    <tableColumn id="7" xr3:uid="{138F7AEC-187E-44F7-9A5E-A59494468203}" name="Tegevusala" dataDxfId="537" totalsRowDxfId="170"/>
    <tableColumn id="8" xr3:uid="{F87685C0-9609-44C2-A125-33A480267925}" name="Kuluüksus" dataDxfId="536" totalsRowDxfId="169"/>
    <tableColumn id="9" xr3:uid="{3E47207D-8600-41FF-A98A-F1F77B914466}" name="Esialgne eelarve" totalsRowFunction="sum" dataDxfId="535" totalsRowDxfId="168"/>
    <tableColumn id="10" xr3:uid="{0E0F24A2-EBAE-4E48-B79F-2A6109E0D0C3}" name="Muudatused" totalsRowFunction="sum" dataDxfId="534" totalsRowDxfId="167"/>
    <tableColumn id="11" xr3:uid="{6A7F7D52-BD45-4D14-9AED-986E6E8496D1}" name="Muudetud eelarve" totalsRowFunction="sum" dataDxfId="533" totalsRowDxfId="166"/>
    <tableColumn id="12" xr3:uid="{1CCB22C6-D649-4075-9FC7-A0FEC3E21ACD}" name="Selgitused" dataDxfId="532" totalsRowDxfId="165"/>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AAE325CA-79D3-41FC-A4EF-16843902F1BF}" name="Table114" displayName="Table114" ref="A2:L15" totalsRowCount="1" headerRowDxfId="531" dataDxfId="530" totalsRowDxfId="529">
  <autoFilter ref="A2:L14" xr:uid="{AAE325CA-79D3-41FC-A4EF-16843902F1BF}"/>
  <sortState xmlns:xlrd2="http://schemas.microsoft.com/office/spreadsheetml/2017/richdata2" ref="A3:L14">
    <sortCondition ref="E2:E14"/>
  </sortState>
  <tableColumns count="12">
    <tableColumn id="1" xr3:uid="{E12FB3B9-C8AF-4F28-907D-DEDA45668A38}" name="Nimetus" dataDxfId="528" totalsRowDxfId="527"/>
    <tableColumn id="2" xr3:uid="{04F00349-0312-45EE-8886-CDDB90C91DBC}" name="Kulugrupp" dataDxfId="526" totalsRowDxfId="525"/>
    <tableColumn id="3" xr3:uid="{076F899A-8DB7-4E86-821D-254FB66AAED2}" name="Eelarvekonto" dataDxfId="524" totalsRowDxfId="523"/>
    <tableColumn id="4" xr3:uid="{018134FD-3BF3-4C38-A233-6BC696DA84BD}" name="Eelarve liik ja objekt" dataDxfId="522" totalsRowDxfId="521"/>
    <tableColumn id="5" xr3:uid="{049F2C59-C368-4597-A486-9642D11A49BE}" name="Eelarve projekt" dataDxfId="520" totalsRowDxfId="519"/>
    <tableColumn id="6" xr3:uid="{ED7B2CD2-2D85-4623-8497-FC61E2533E15}" name="Grant" dataDxfId="518" totalsRowDxfId="517"/>
    <tableColumn id="7" xr3:uid="{2D8B53F2-4E5B-4E44-A518-40B63DFE5481}" name="Tegevusala" dataDxfId="516" totalsRowDxfId="515"/>
    <tableColumn id="8" xr3:uid="{608B9EAE-2BB4-4523-BE51-3ED9DEB9054B}" name="Kuluüksus" dataDxfId="514" totalsRowDxfId="513"/>
    <tableColumn id="9" xr3:uid="{AD47979A-55C3-450A-9B8A-BBF7A955AB45}" name="Esialgne eelarve" totalsRowFunction="sum" dataDxfId="512" totalsRowDxfId="511"/>
    <tableColumn id="10" xr3:uid="{D88A8E5D-479E-4701-A3AF-1EBF2E316397}" name="Muudatused" totalsRowFunction="sum" dataDxfId="510" totalsRowDxfId="509"/>
    <tableColumn id="11" xr3:uid="{731628DD-D97C-474F-803C-DEE3813B824F}" name="Muudetud eelarve" totalsRowFunction="sum" dataDxfId="508" totalsRowDxfId="507"/>
    <tableColumn id="12" xr3:uid="{D90B9624-787C-4F71-BC2B-D5E6E17EBAA8}" name="Selgitused" dataDxfId="506" totalsRowDxfId="505"/>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40CFC11-11F8-479D-B322-BDE8C8DE050F}" name="Table115" displayName="Table115" ref="A2:L10" totalsRowCount="1" headerRowDxfId="504" dataDxfId="503" totalsRowDxfId="502">
  <autoFilter ref="A2:L9" xr:uid="{640CFC11-11F8-479D-B322-BDE8C8DE050F}"/>
  <sortState xmlns:xlrd2="http://schemas.microsoft.com/office/spreadsheetml/2017/richdata2" ref="A3:L9">
    <sortCondition ref="B2:B9"/>
  </sortState>
  <tableColumns count="12">
    <tableColumn id="1" xr3:uid="{B5E67791-E559-4F3E-84AB-3C11063C659A}" name="Nimetus" dataDxfId="501" totalsRowDxfId="43"/>
    <tableColumn id="2" xr3:uid="{E94C89E7-5086-46C6-9E56-7AAD983801D0}" name="Kulugrupp" dataDxfId="500" totalsRowDxfId="42"/>
    <tableColumn id="3" xr3:uid="{BC476004-EC83-415A-B922-07A1394854D5}" name="Eelarvekonto" dataDxfId="499" totalsRowDxfId="41"/>
    <tableColumn id="4" xr3:uid="{354568BF-9DD0-41F0-B14D-E0C36BB470EC}" name="Eelarve liik ja objekt" dataDxfId="498" totalsRowDxfId="40"/>
    <tableColumn id="5" xr3:uid="{D79D7033-9794-4EC2-A235-0EAAAA9BCC8D}" name="Eelarve projekt" dataDxfId="497" totalsRowDxfId="39"/>
    <tableColumn id="6" xr3:uid="{B08175BD-BACC-4BDB-A04C-89267E9EC670}" name="Grant" dataDxfId="496" totalsRowDxfId="38"/>
    <tableColumn id="7" xr3:uid="{072B270F-CF65-413C-B215-BA39050603CC}" name="Tegevusala" dataDxfId="495" totalsRowDxfId="37"/>
    <tableColumn id="8" xr3:uid="{1D1D8096-0C12-4B1C-ACFD-B61DE0ACA0CC}" name="Kuluüksus" dataDxfId="494" totalsRowDxfId="36"/>
    <tableColumn id="9" xr3:uid="{F4AC9212-9EA9-47D5-BD45-C8854B149603}" name="Esialgne eelarve" totalsRowFunction="sum" dataDxfId="493" totalsRowDxfId="35"/>
    <tableColumn id="10" xr3:uid="{989EFD4B-F9F0-444C-92F1-95594000391D}" name="Muudatused" totalsRowFunction="sum" dataDxfId="492" totalsRowDxfId="34"/>
    <tableColumn id="11" xr3:uid="{AB397971-9184-4112-BD5E-EE28E33277CF}" name="Muudetud eelarve" totalsRowFunction="sum" dataDxfId="491" totalsRowDxfId="33"/>
    <tableColumn id="12" xr3:uid="{5B3DC7FE-6B13-45B2-A477-E957C2CCAA9C}" name="Selgitused" dataDxfId="490" totalsRowDxfId="32"/>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7B124666-606B-4E68-90ED-49725F03B6B7}" name="Table116" displayName="Table116" ref="A2:L7" totalsRowCount="1" headerRowDxfId="489" dataDxfId="488" totalsRowDxfId="487">
  <autoFilter ref="A2:L6" xr:uid="{7B124666-606B-4E68-90ED-49725F03B6B7}"/>
  <sortState xmlns:xlrd2="http://schemas.microsoft.com/office/spreadsheetml/2017/richdata2" ref="A3:L6">
    <sortCondition ref="B2:B6"/>
  </sortState>
  <tableColumns count="12">
    <tableColumn id="1" xr3:uid="{BC0E5B3E-735E-4598-82C4-D8982CFB9CC2}" name="Nimetus" dataDxfId="329" totalsRowDxfId="152"/>
    <tableColumn id="2" xr3:uid="{754E69AD-9B4B-4004-8AB3-3C70858DBE41}" name="Kulugrupp" dataDxfId="328" totalsRowDxfId="151"/>
    <tableColumn id="3" xr3:uid="{648C5339-F7BC-4BDC-9B2E-1230F583E3C7}" name="Eelarvekonto" dataDxfId="327" totalsRowDxfId="150"/>
    <tableColumn id="4" xr3:uid="{0D546FBC-8645-4B5B-8F6D-975FF779D932}" name="Eelarve liik ja objekt" dataDxfId="326" totalsRowDxfId="149"/>
    <tableColumn id="5" xr3:uid="{4118BFDE-6D46-4A10-A5D9-BC22A3F22CF5}" name="Eelarve projekt" dataDxfId="325" totalsRowDxfId="148"/>
    <tableColumn id="6" xr3:uid="{E1B5BBF0-08AD-4B95-A160-7C20EA39C1FB}" name="Grant" dataDxfId="324" totalsRowDxfId="147"/>
    <tableColumn id="7" xr3:uid="{34890D76-B0C1-42F4-B938-2189FB7B518A}" name="Tegevusala" dataDxfId="323" totalsRowDxfId="146"/>
    <tableColumn id="8" xr3:uid="{6D9CA8B4-A990-49A9-B580-04AF0D069CB4}" name="Kuluüksus" dataDxfId="322" totalsRowDxfId="145"/>
    <tableColumn id="9" xr3:uid="{68FA7ED2-712F-4E85-8CAC-B650712C5CBC}" name="Esialgne eelarve" totalsRowFunction="sum" dataDxfId="321" totalsRowDxfId="144"/>
    <tableColumn id="10" xr3:uid="{14795A02-0C50-47A7-B45A-52CA2084FB87}" name="Muudatused" totalsRowFunction="sum" dataDxfId="320" totalsRowDxfId="143"/>
    <tableColumn id="11" xr3:uid="{51F6ADDC-49ED-43DC-AA64-C419DACE4FA8}" name="Muudetud eelarve" totalsRowFunction="sum" dataDxfId="319" totalsRowDxfId="142"/>
    <tableColumn id="12" xr3:uid="{EC099098-1E78-49AB-9827-F8E89ACE29E6}" name="Selgitused" dataDxfId="318" totalsRowDxfId="141"/>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5A72AB0-CC68-4A09-B18C-1E556BC8557E}" name="Table14" displayName="Table14" ref="A2:L8" totalsRowCount="1" headerRowDxfId="455" dataDxfId="486" totalsRowDxfId="454" headerRowBorderDxfId="465" tableBorderDxfId="466">
  <autoFilter ref="A2:L7" xr:uid="{15A72AB0-CC68-4A09-B18C-1E556BC8557E}"/>
  <sortState xmlns:xlrd2="http://schemas.microsoft.com/office/spreadsheetml/2017/richdata2" ref="A3:L7">
    <sortCondition ref="B2:B7"/>
  </sortState>
  <tableColumns count="12">
    <tableColumn id="1" xr3:uid="{8CAA0DBA-9577-46B8-84C6-677BC9DFDA4D}" name="Nimetus" dataDxfId="464" totalsRowDxfId="250"/>
    <tableColumn id="2" xr3:uid="{86973D9D-0B9B-4CD7-B5BD-EAAB01B173E4}" name="Kulugrupp" dataDxfId="463" totalsRowDxfId="249"/>
    <tableColumn id="3" xr3:uid="{325375AA-2688-47A1-AA94-4753CD244AF7}" name="Eelarvekonto" dataDxfId="462" totalsRowDxfId="248"/>
    <tableColumn id="4" xr3:uid="{CA7C08A3-B2A4-4B80-80A7-E257A697A27E}" name="Eelarve liik ja objekt" dataDxfId="461" totalsRowDxfId="247"/>
    <tableColumn id="5" xr3:uid="{B1C0CA6E-531D-4EC6-BE7C-C59F1E28BD7B}" name="Eelarve projekt" dataDxfId="460" totalsRowDxfId="246"/>
    <tableColumn id="6" xr3:uid="{2A32B833-3D86-498F-9235-9CC4C3278DE8}" name="Grant" dataDxfId="459" totalsRowDxfId="245"/>
    <tableColumn id="7" xr3:uid="{0F1004D5-4577-4FFF-9419-C5ED8E199359}" name="Tegevusala" dataDxfId="458" totalsRowDxfId="244"/>
    <tableColumn id="8" xr3:uid="{8834C411-8565-42FE-876E-348ACE2EFAFD}" name="Kuluüksus" dataDxfId="457" totalsRowDxfId="243"/>
    <tableColumn id="9" xr3:uid="{8BAF2746-A48C-4260-AA4D-15BF837E7551}" name="Esialgne eelarve" totalsRowFunction="sum" dataDxfId="453" totalsRowDxfId="242"/>
    <tableColumn id="10" xr3:uid="{9E80B5EA-B648-4874-B345-4A0CEC476F95}" name="Muudatused" totalsRowFunction="sum" dataDxfId="456" totalsRowDxfId="241"/>
    <tableColumn id="11" xr3:uid="{9FDD5E71-9E97-4734-9E04-EC5334ECC272}" name="Muudetud eelarve" totalsRowFunction="sum" dataDxfId="451" totalsRowDxfId="240"/>
    <tableColumn id="12" xr3:uid="{FEAA176E-4731-4149-BD32-18D5626BBDFC}" name="Selgitused" dataDxfId="450" totalsRowDxfId="239"/>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9EFBC7D-3804-4E8A-9DB3-D93B2A15A4EE}" name="Table19" displayName="Table19" ref="A2:L13" totalsRowCount="1" headerRowDxfId="452" dataDxfId="484" totalsRowDxfId="485">
  <autoFilter ref="A2:L12" xr:uid="{79EFBC7D-3804-4E8A-9DB3-D93B2A15A4EE}"/>
  <sortState xmlns:xlrd2="http://schemas.microsoft.com/office/spreadsheetml/2017/richdata2" ref="A3:L12">
    <sortCondition ref="B2:B12"/>
  </sortState>
  <tableColumns count="12">
    <tableColumn id="1" xr3:uid="{5CC75E5C-C78D-49F2-8FFF-B120C3E97D7A}" name="Nimetus" dataDxfId="238" totalsRowDxfId="226"/>
    <tableColumn id="2" xr3:uid="{AEBAE657-B149-468E-8B78-6BCC8FDF3CA3}" name="Kulugrupp" dataDxfId="237" totalsRowDxfId="225"/>
    <tableColumn id="3" xr3:uid="{B67B8941-CEB2-4162-B36D-8C409FBCD7AD}" name="Eelarvekonto" dataDxfId="236" totalsRowDxfId="224"/>
    <tableColumn id="4" xr3:uid="{0D26FE72-C133-42FB-AF4C-9126A481C3C4}" name="Eelarve liik ja objekt" dataDxfId="235" totalsRowDxfId="223"/>
    <tableColumn id="5" xr3:uid="{DA9F64BC-6ADF-47D1-870F-8D5B1E536CC3}" name="Eelarve projekt" dataDxfId="234" totalsRowDxfId="222"/>
    <tableColumn id="6" xr3:uid="{44BEA5E4-7A35-4CE7-A82A-BAAB1303F451}" name="Grant" dataDxfId="233" totalsRowDxfId="221"/>
    <tableColumn id="7" xr3:uid="{35F770FD-A65E-4F11-B874-60F42BB7F918}" name="Tegevusala" dataDxfId="232" totalsRowDxfId="220"/>
    <tableColumn id="8" xr3:uid="{D8B00D6A-9EF0-4A41-B643-E8ABB4357778}" name="Kuluüksus" dataDxfId="231" totalsRowDxfId="219"/>
    <tableColumn id="9" xr3:uid="{177A94EA-6C14-4543-9F77-097918A51B7C}" name="Esialgne eelarve" totalsRowFunction="sum" dataDxfId="230" totalsRowDxfId="218"/>
    <tableColumn id="10" xr3:uid="{F29B705C-4DD2-4850-91FA-5A508954DA10}" name="Muudatused" totalsRowFunction="sum" dataDxfId="229" totalsRowDxfId="217"/>
    <tableColumn id="11" xr3:uid="{4DD28524-5E19-41F9-8271-6D40EBB8A66E}" name="Muudetud eelarve" totalsRowFunction="sum" dataDxfId="228" totalsRowDxfId="216"/>
    <tableColumn id="12" xr3:uid="{FE4CE461-7AF7-4C06-862F-EF9DEDF6BABD}" name="Selgitused" dataDxfId="227" totalsRowDxfId="215"/>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20.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21.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2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_rels/sheet9.xml.rels><?xml version="1.0" encoding="UTF-8" standalone="yes"?>
<Relationships xmlns="http://schemas.openxmlformats.org/package/2006/relationships"><Relationship Id="rId1"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L15"/>
  <sheetViews>
    <sheetView tabSelected="1" workbookViewId="0">
      <pane ySplit="2" topLeftCell="A3" activePane="bottomLeft" state="frozen"/>
      <selection pane="bottomLeft" activeCell="A2" sqref="A2"/>
    </sheetView>
  </sheetViews>
  <sheetFormatPr defaultRowHeight="13" x14ac:dyDescent="0.3"/>
  <cols>
    <col min="1" max="1" width="21.08984375" style="3" customWidth="1"/>
    <col min="2" max="2" width="12.1796875" style="3" bestFit="1" customWidth="1"/>
    <col min="3" max="3" width="14.6328125" style="3" bestFit="1" customWidth="1"/>
    <col min="4" max="4" width="11.08984375" style="3" customWidth="1"/>
    <col min="5" max="5" width="15.90625" style="3" bestFit="1" customWidth="1"/>
    <col min="6" max="6" width="19.36328125" style="3" bestFit="1" customWidth="1"/>
    <col min="7" max="7" width="7.1796875" style="3" customWidth="1"/>
    <col min="8" max="8" width="11.6328125" style="3" bestFit="1" customWidth="1"/>
    <col min="9" max="9" width="9.1796875" style="3" bestFit="1" customWidth="1"/>
    <col min="10" max="10" width="10.90625" style="3" customWidth="1"/>
    <col min="11" max="11" width="12.26953125" style="3" customWidth="1"/>
    <col min="12" max="12" width="73.81640625" style="3" customWidth="1"/>
    <col min="13" max="16384" width="8.7265625" style="3"/>
  </cols>
  <sheetData>
    <row r="1" spans="1:12" x14ac:dyDescent="0.3">
      <c r="A1" s="2" t="s">
        <v>112</v>
      </c>
      <c r="L1" s="2" t="s">
        <v>113</v>
      </c>
    </row>
    <row r="2" spans="1:12" ht="26" x14ac:dyDescent="0.3">
      <c r="A2" s="12" t="s">
        <v>0</v>
      </c>
      <c r="B2" s="12" t="s">
        <v>1</v>
      </c>
      <c r="C2" s="12" t="s">
        <v>128</v>
      </c>
      <c r="D2" s="12" t="s">
        <v>2</v>
      </c>
      <c r="E2" s="12" t="s">
        <v>3</v>
      </c>
      <c r="F2" s="12" t="s">
        <v>4</v>
      </c>
      <c r="G2" s="12" t="s">
        <v>5</v>
      </c>
      <c r="H2" s="12" t="s">
        <v>6</v>
      </c>
      <c r="I2" s="12" t="s">
        <v>114</v>
      </c>
      <c r="J2" s="12" t="s">
        <v>7</v>
      </c>
      <c r="K2" s="12" t="s">
        <v>163</v>
      </c>
      <c r="L2" s="12" t="s">
        <v>162</v>
      </c>
    </row>
    <row r="3" spans="1:12" ht="26" x14ac:dyDescent="0.3">
      <c r="A3" s="8" t="s">
        <v>39</v>
      </c>
      <c r="B3" s="8" t="s">
        <v>40</v>
      </c>
      <c r="C3" s="8" t="s">
        <v>41</v>
      </c>
      <c r="D3" s="8" t="s">
        <v>19</v>
      </c>
      <c r="E3" s="8" t="s">
        <v>21</v>
      </c>
      <c r="F3" s="8" t="s">
        <v>21</v>
      </c>
      <c r="G3" s="8" t="s">
        <v>13</v>
      </c>
      <c r="H3" s="8" t="s">
        <v>28</v>
      </c>
      <c r="I3" s="9">
        <v>440</v>
      </c>
      <c r="J3" s="9">
        <v>440</v>
      </c>
      <c r="K3" s="9">
        <v>880</v>
      </c>
      <c r="L3" s="6" t="s">
        <v>117</v>
      </c>
    </row>
    <row r="4" spans="1:12" x14ac:dyDescent="0.3">
      <c r="A4" s="8" t="s">
        <v>42</v>
      </c>
      <c r="B4" s="8" t="s">
        <v>40</v>
      </c>
      <c r="C4" s="8" t="s">
        <v>43</v>
      </c>
      <c r="D4" s="8" t="s">
        <v>19</v>
      </c>
      <c r="E4" s="8" t="s">
        <v>21</v>
      </c>
      <c r="F4" s="8" t="s">
        <v>21</v>
      </c>
      <c r="G4" s="8" t="s">
        <v>13</v>
      </c>
      <c r="H4" s="8" t="s">
        <v>28</v>
      </c>
      <c r="I4" s="9">
        <v>275</v>
      </c>
      <c r="J4" s="9"/>
      <c r="K4" s="9">
        <v>275</v>
      </c>
      <c r="L4" s="10" t="s">
        <v>21</v>
      </c>
    </row>
    <row r="5" spans="1:12" x14ac:dyDescent="0.3">
      <c r="A5" s="8" t="s">
        <v>34</v>
      </c>
      <c r="B5" s="8" t="s">
        <v>17</v>
      </c>
      <c r="C5" s="8" t="s">
        <v>35</v>
      </c>
      <c r="D5" s="8" t="s">
        <v>19</v>
      </c>
      <c r="E5" s="8" t="s">
        <v>36</v>
      </c>
      <c r="F5" s="8" t="s">
        <v>21</v>
      </c>
      <c r="G5" s="8" t="s">
        <v>13</v>
      </c>
      <c r="H5" s="8" t="s">
        <v>22</v>
      </c>
      <c r="I5" s="9">
        <v>7000</v>
      </c>
      <c r="J5" s="9"/>
      <c r="K5" s="9">
        <v>7000</v>
      </c>
      <c r="L5" s="10"/>
    </row>
    <row r="6" spans="1:12" x14ac:dyDescent="0.3">
      <c r="A6" s="8" t="s">
        <v>16</v>
      </c>
      <c r="B6" s="8" t="s">
        <v>17</v>
      </c>
      <c r="C6" s="8" t="s">
        <v>18</v>
      </c>
      <c r="D6" s="8" t="s">
        <v>19</v>
      </c>
      <c r="E6" s="8" t="s">
        <v>20</v>
      </c>
      <c r="F6" s="8" t="s">
        <v>21</v>
      </c>
      <c r="G6" s="8" t="s">
        <v>13</v>
      </c>
      <c r="H6" s="8" t="s">
        <v>22</v>
      </c>
      <c r="I6" s="9">
        <v>51295</v>
      </c>
      <c r="J6" s="9">
        <v>-25295</v>
      </c>
      <c r="K6" s="9">
        <v>26000</v>
      </c>
      <c r="L6" s="10" t="s">
        <v>115</v>
      </c>
    </row>
    <row r="7" spans="1:12" x14ac:dyDescent="0.3">
      <c r="A7" s="8" t="s">
        <v>44</v>
      </c>
      <c r="B7" s="8" t="s">
        <v>17</v>
      </c>
      <c r="C7" s="8" t="s">
        <v>45</v>
      </c>
      <c r="D7" s="8" t="s">
        <v>46</v>
      </c>
      <c r="E7" s="8" t="s">
        <v>47</v>
      </c>
      <c r="F7" s="8" t="s">
        <v>21</v>
      </c>
      <c r="G7" s="8" t="s">
        <v>13</v>
      </c>
      <c r="H7" s="8" t="s">
        <v>22</v>
      </c>
      <c r="I7" s="9">
        <v>0.1</v>
      </c>
      <c r="J7" s="9">
        <v>100000</v>
      </c>
      <c r="K7" s="9">
        <v>100000.1</v>
      </c>
      <c r="L7" s="11" t="s">
        <v>118</v>
      </c>
    </row>
    <row r="8" spans="1:12" x14ac:dyDescent="0.3">
      <c r="A8" s="8" t="s">
        <v>48</v>
      </c>
      <c r="B8" s="8" t="s">
        <v>17</v>
      </c>
      <c r="C8" s="8" t="s">
        <v>10</v>
      </c>
      <c r="D8" s="8" t="s">
        <v>19</v>
      </c>
      <c r="E8" s="8" t="s">
        <v>49</v>
      </c>
      <c r="F8" s="8" t="s">
        <v>21</v>
      </c>
      <c r="G8" s="8" t="s">
        <v>13</v>
      </c>
      <c r="H8" s="8" t="s">
        <v>28</v>
      </c>
      <c r="I8" s="9">
        <v>0.1</v>
      </c>
      <c r="J8" s="9">
        <v>12850</v>
      </c>
      <c r="K8" s="9">
        <v>12850.1</v>
      </c>
      <c r="L8" s="10" t="s">
        <v>125</v>
      </c>
    </row>
    <row r="9" spans="1:12" ht="26" x14ac:dyDescent="0.3">
      <c r="A9" s="8" t="s">
        <v>30</v>
      </c>
      <c r="B9" s="8" t="s">
        <v>17</v>
      </c>
      <c r="C9" s="8" t="s">
        <v>31</v>
      </c>
      <c r="D9" s="8" t="s">
        <v>32</v>
      </c>
      <c r="E9" s="8" t="s">
        <v>33</v>
      </c>
      <c r="F9" s="8" t="s">
        <v>21</v>
      </c>
      <c r="G9" s="8" t="s">
        <v>13</v>
      </c>
      <c r="H9" s="8" t="s">
        <v>22</v>
      </c>
      <c r="I9" s="9">
        <v>23850</v>
      </c>
      <c r="J9" s="9">
        <v>123297</v>
      </c>
      <c r="K9" s="9">
        <v>147147</v>
      </c>
      <c r="L9" s="10" t="s">
        <v>116</v>
      </c>
    </row>
    <row r="10" spans="1:12" x14ac:dyDescent="0.3">
      <c r="A10" s="8" t="s">
        <v>16</v>
      </c>
      <c r="B10" s="8" t="s">
        <v>17</v>
      </c>
      <c r="C10" s="8" t="s">
        <v>18</v>
      </c>
      <c r="D10" s="8" t="s">
        <v>19</v>
      </c>
      <c r="E10" s="8" t="s">
        <v>33</v>
      </c>
      <c r="F10" s="8" t="s">
        <v>21</v>
      </c>
      <c r="G10" s="8" t="s">
        <v>13</v>
      </c>
      <c r="H10" s="8" t="s">
        <v>22</v>
      </c>
      <c r="I10" s="9">
        <v>0.1</v>
      </c>
      <c r="J10" s="9">
        <v>13850</v>
      </c>
      <c r="K10" s="9">
        <v>13850.1</v>
      </c>
      <c r="L10" s="10" t="s">
        <v>90</v>
      </c>
    </row>
    <row r="11" spans="1:12" x14ac:dyDescent="0.3">
      <c r="A11" s="8" t="s">
        <v>366</v>
      </c>
      <c r="B11" s="8" t="s">
        <v>37</v>
      </c>
      <c r="C11" s="8" t="s">
        <v>38</v>
      </c>
      <c r="D11" s="8" t="s">
        <v>19</v>
      </c>
      <c r="E11" s="8" t="s">
        <v>21</v>
      </c>
      <c r="F11" s="8" t="s">
        <v>21</v>
      </c>
      <c r="G11" s="8" t="s">
        <v>13</v>
      </c>
      <c r="H11" s="8" t="s">
        <v>22</v>
      </c>
      <c r="I11" s="9">
        <f>4000+12000</f>
        <v>16000</v>
      </c>
      <c r="J11" s="9">
        <v>-12000</v>
      </c>
      <c r="K11" s="9">
        <v>4000</v>
      </c>
      <c r="L11" s="10" t="s">
        <v>365</v>
      </c>
    </row>
    <row r="12" spans="1:12" x14ac:dyDescent="0.3">
      <c r="A12" s="8" t="s">
        <v>8</v>
      </c>
      <c r="B12" s="8" t="s">
        <v>9</v>
      </c>
      <c r="C12" s="8" t="s">
        <v>10</v>
      </c>
      <c r="D12" s="8" t="s">
        <v>11</v>
      </c>
      <c r="E12" s="8" t="s">
        <v>21</v>
      </c>
      <c r="F12" s="8" t="s">
        <v>23</v>
      </c>
      <c r="G12" s="8" t="s">
        <v>24</v>
      </c>
      <c r="H12" s="8" t="s">
        <v>25</v>
      </c>
      <c r="I12" s="9">
        <v>48168</v>
      </c>
      <c r="J12" s="9"/>
      <c r="K12" s="9">
        <v>48168</v>
      </c>
      <c r="L12" s="10" t="s">
        <v>26</v>
      </c>
    </row>
    <row r="13" spans="1:12" x14ac:dyDescent="0.3">
      <c r="A13" s="8" t="s">
        <v>8</v>
      </c>
      <c r="B13" s="8" t="s">
        <v>9</v>
      </c>
      <c r="C13" s="8" t="s">
        <v>10</v>
      </c>
      <c r="D13" s="8" t="s">
        <v>11</v>
      </c>
      <c r="E13" s="8" t="s">
        <v>21</v>
      </c>
      <c r="F13" s="8" t="s">
        <v>27</v>
      </c>
      <c r="G13" s="8" t="s">
        <v>13</v>
      </c>
      <c r="H13" s="8" t="s">
        <v>28</v>
      </c>
      <c r="I13" s="9">
        <v>44996</v>
      </c>
      <c r="J13" s="9"/>
      <c r="K13" s="9">
        <v>44996</v>
      </c>
      <c r="L13" s="10" t="s">
        <v>29</v>
      </c>
    </row>
    <row r="14" spans="1:12" x14ac:dyDescent="0.3">
      <c r="A14" s="8" t="s">
        <v>8</v>
      </c>
      <c r="B14" s="8" t="s">
        <v>9</v>
      </c>
      <c r="C14" s="8" t="s">
        <v>10</v>
      </c>
      <c r="D14" s="8" t="s">
        <v>11</v>
      </c>
      <c r="E14" s="8"/>
      <c r="F14" s="8" t="s">
        <v>12</v>
      </c>
      <c r="G14" s="8" t="s">
        <v>13</v>
      </c>
      <c r="H14" s="8" t="s">
        <v>14</v>
      </c>
      <c r="I14" s="9">
        <v>52000</v>
      </c>
      <c r="J14" s="8"/>
      <c r="K14" s="9">
        <v>52000</v>
      </c>
      <c r="L14" s="10" t="s">
        <v>15</v>
      </c>
    </row>
    <row r="15" spans="1:12" x14ac:dyDescent="0.3">
      <c r="I15" s="4">
        <f>SUBTOTAL(109,Table1[Esialgne eelarve])</f>
        <v>244024.3</v>
      </c>
      <c r="J15" s="4">
        <f>SUBTOTAL(109,Table1[Muudatused])</f>
        <v>213142</v>
      </c>
      <c r="K15" s="4">
        <f>SUBTOTAL(109,Table1[Muudetud eelarve])</f>
        <v>457166.3</v>
      </c>
      <c r="L15" s="5"/>
    </row>
  </sheetData>
  <pageMargins left="0.7" right="0.7" top="0.75" bottom="0.75" header="0.3" footer="0.3"/>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E558E-D0EB-41A9-9513-F3E08FA43166}">
  <sheetPr>
    <tabColor rgb="FF92D050"/>
  </sheetPr>
  <dimension ref="A1:L9"/>
  <sheetViews>
    <sheetView workbookViewId="0">
      <selection activeCell="A2" sqref="A2"/>
    </sheetView>
  </sheetViews>
  <sheetFormatPr defaultRowHeight="13" x14ac:dyDescent="0.3"/>
  <cols>
    <col min="1" max="1" width="18.26953125" style="3" bestFit="1" customWidth="1"/>
    <col min="2" max="2" width="13.26953125" style="3" bestFit="1" customWidth="1"/>
    <col min="3" max="3" width="12.81640625" style="3" bestFit="1" customWidth="1"/>
    <col min="4" max="4" width="10.90625" style="3" bestFit="1" customWidth="1"/>
    <col min="5" max="5" width="14.7265625" style="3" bestFit="1" customWidth="1"/>
    <col min="6" max="6" width="9.7265625" style="3" bestFit="1" customWidth="1"/>
    <col min="7" max="7" width="12.81640625" style="3" bestFit="1" customWidth="1"/>
    <col min="8" max="8" width="13.1796875" style="3" bestFit="1" customWidth="1"/>
    <col min="9" max="9" width="11.54296875" style="3" bestFit="1" customWidth="1"/>
    <col min="10" max="10" width="13.1796875" style="3" bestFit="1" customWidth="1"/>
    <col min="11" max="11" width="12.453125" style="3" bestFit="1" customWidth="1"/>
    <col min="12" max="12" width="41.81640625" style="13" bestFit="1" customWidth="1"/>
    <col min="13" max="16384" width="8.7265625" style="3"/>
  </cols>
  <sheetData>
    <row r="1" spans="1:12" x14ac:dyDescent="0.3">
      <c r="A1" s="15" t="s">
        <v>315</v>
      </c>
      <c r="L1" s="14" t="s">
        <v>316</v>
      </c>
    </row>
    <row r="2" spans="1:12" s="25" customFormat="1" ht="39" x14ac:dyDescent="0.35">
      <c r="A2" s="12" t="s">
        <v>0</v>
      </c>
      <c r="B2" s="12" t="s">
        <v>1</v>
      </c>
      <c r="C2" s="12" t="s">
        <v>128</v>
      </c>
      <c r="D2" s="12" t="s">
        <v>2</v>
      </c>
      <c r="E2" s="12" t="s">
        <v>3</v>
      </c>
      <c r="F2" s="12" t="s">
        <v>4</v>
      </c>
      <c r="G2" s="12" t="s">
        <v>5</v>
      </c>
      <c r="H2" s="12" t="s">
        <v>6</v>
      </c>
      <c r="I2" s="12" t="s">
        <v>114</v>
      </c>
      <c r="J2" s="12" t="s">
        <v>7</v>
      </c>
      <c r="K2" s="12" t="s">
        <v>163</v>
      </c>
      <c r="L2" s="12" t="s">
        <v>162</v>
      </c>
    </row>
    <row r="3" spans="1:12" x14ac:dyDescent="0.3">
      <c r="A3" s="8" t="s">
        <v>39</v>
      </c>
      <c r="B3" s="8" t="s">
        <v>40</v>
      </c>
      <c r="C3" s="8" t="s">
        <v>41</v>
      </c>
      <c r="D3" s="8" t="s">
        <v>19</v>
      </c>
      <c r="E3" s="8"/>
      <c r="F3" s="8"/>
      <c r="G3" s="8" t="s">
        <v>13</v>
      </c>
      <c r="H3" s="8" t="s">
        <v>188</v>
      </c>
      <c r="I3" s="9">
        <v>1320</v>
      </c>
      <c r="J3" s="8"/>
      <c r="K3" s="9">
        <v>1320</v>
      </c>
      <c r="L3" s="24" t="s">
        <v>124</v>
      </c>
    </row>
    <row r="4" spans="1:12" x14ac:dyDescent="0.3">
      <c r="A4" s="8" t="s">
        <v>42</v>
      </c>
      <c r="B4" s="8" t="s">
        <v>40</v>
      </c>
      <c r="C4" s="8" t="s">
        <v>43</v>
      </c>
      <c r="D4" s="8" t="s">
        <v>19</v>
      </c>
      <c r="E4" s="8"/>
      <c r="F4" s="8"/>
      <c r="G4" s="8" t="s">
        <v>13</v>
      </c>
      <c r="H4" s="8" t="s">
        <v>188</v>
      </c>
      <c r="I4" s="9">
        <v>1751</v>
      </c>
      <c r="J4" s="8"/>
      <c r="K4" s="9">
        <v>1751</v>
      </c>
      <c r="L4" s="24" t="s">
        <v>147</v>
      </c>
    </row>
    <row r="5" spans="1:12" x14ac:dyDescent="0.3">
      <c r="A5" s="8" t="s">
        <v>189</v>
      </c>
      <c r="B5" s="8" t="s">
        <v>17</v>
      </c>
      <c r="C5" s="8" t="s">
        <v>65</v>
      </c>
      <c r="D5" s="8" t="s">
        <v>190</v>
      </c>
      <c r="E5" s="8" t="s">
        <v>191</v>
      </c>
      <c r="F5" s="8"/>
      <c r="G5" s="8" t="s">
        <v>13</v>
      </c>
      <c r="H5" s="8" t="s">
        <v>188</v>
      </c>
      <c r="I5" s="9">
        <v>2500</v>
      </c>
      <c r="J5" s="8"/>
      <c r="K5" s="9">
        <v>2500</v>
      </c>
      <c r="L5" s="8" t="s">
        <v>346</v>
      </c>
    </row>
    <row r="6" spans="1:12" ht="52" x14ac:dyDescent="0.3">
      <c r="A6" s="8" t="s">
        <v>189</v>
      </c>
      <c r="B6" s="8" t="s">
        <v>17</v>
      </c>
      <c r="C6" s="8" t="s">
        <v>65</v>
      </c>
      <c r="D6" s="8" t="s">
        <v>190</v>
      </c>
      <c r="E6" s="8" t="s">
        <v>192</v>
      </c>
      <c r="F6" s="8"/>
      <c r="G6" s="8" t="s">
        <v>13</v>
      </c>
      <c r="H6" s="8" t="s">
        <v>188</v>
      </c>
      <c r="I6" s="9">
        <v>40289</v>
      </c>
      <c r="J6" s="9">
        <v>3052</v>
      </c>
      <c r="K6" s="9">
        <v>43341</v>
      </c>
      <c r="L6" s="11" t="s">
        <v>347</v>
      </c>
    </row>
    <row r="7" spans="1:12" x14ac:dyDescent="0.3">
      <c r="A7" s="8" t="s">
        <v>193</v>
      </c>
      <c r="B7" s="8" t="s">
        <v>17</v>
      </c>
      <c r="C7" s="8" t="s">
        <v>51</v>
      </c>
      <c r="D7" s="8" t="s">
        <v>19</v>
      </c>
      <c r="E7" s="8" t="s">
        <v>194</v>
      </c>
      <c r="F7" s="8"/>
      <c r="G7" s="8" t="s">
        <v>13</v>
      </c>
      <c r="H7" s="8" t="s">
        <v>188</v>
      </c>
      <c r="I7" s="9">
        <v>570000</v>
      </c>
      <c r="J7" s="9"/>
      <c r="K7" s="9">
        <v>570000</v>
      </c>
      <c r="L7" s="11" t="s">
        <v>195</v>
      </c>
    </row>
    <row r="8" spans="1:12" x14ac:dyDescent="0.3">
      <c r="A8" s="8" t="s">
        <v>48</v>
      </c>
      <c r="B8" s="8" t="s">
        <v>17</v>
      </c>
      <c r="C8" s="8" t="s">
        <v>10</v>
      </c>
      <c r="D8" s="8" t="s">
        <v>19</v>
      </c>
      <c r="E8" s="8" t="s">
        <v>196</v>
      </c>
      <c r="F8" s="8"/>
      <c r="G8" s="8" t="s">
        <v>13</v>
      </c>
      <c r="H8" s="8" t="s">
        <v>188</v>
      </c>
      <c r="I8" s="9">
        <v>0.1</v>
      </c>
      <c r="J8" s="9">
        <v>20200</v>
      </c>
      <c r="K8" s="9">
        <v>20200.099999999999</v>
      </c>
      <c r="L8" s="24" t="s">
        <v>125</v>
      </c>
    </row>
    <row r="9" spans="1:12" x14ac:dyDescent="0.3">
      <c r="I9" s="4">
        <f>SUBTOTAL(109,Table111[Esialgne eelarve])</f>
        <v>615860.1</v>
      </c>
      <c r="J9" s="4">
        <f>SUBTOTAL(109,Table111[Muudatused])</f>
        <v>23252</v>
      </c>
      <c r="K9" s="4">
        <f>SUBTOTAL(109,Table111[Muudetud eelarve])</f>
        <v>639112.1</v>
      </c>
    </row>
  </sheetData>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D91D4-0D32-4C36-873A-2E4040950646}">
  <sheetPr>
    <tabColor rgb="FF92D050"/>
  </sheetPr>
  <dimension ref="A1:L34"/>
  <sheetViews>
    <sheetView workbookViewId="0">
      <pane ySplit="2" topLeftCell="A19" activePane="bottomLeft" state="frozen"/>
      <selection pane="bottomLeft" activeCell="B2" sqref="B2"/>
    </sheetView>
  </sheetViews>
  <sheetFormatPr defaultRowHeight="13" x14ac:dyDescent="0.3"/>
  <cols>
    <col min="1" max="1" width="18.7265625" style="5" customWidth="1"/>
    <col min="2" max="2" width="17.26953125" style="3" bestFit="1" customWidth="1"/>
    <col min="3" max="3" width="12.81640625" style="3" bestFit="1" customWidth="1"/>
    <col min="4" max="4" width="10.90625" style="3" bestFit="1" customWidth="1"/>
    <col min="5" max="5" width="22" style="3" customWidth="1"/>
    <col min="6" max="6" width="9.7265625" style="3" bestFit="1" customWidth="1"/>
    <col min="7" max="7" width="12.81640625" style="3" bestFit="1" customWidth="1"/>
    <col min="8" max="8" width="13.1796875" style="3" bestFit="1" customWidth="1"/>
    <col min="9" max="9" width="11.54296875" style="3" bestFit="1" customWidth="1"/>
    <col min="10" max="10" width="13.1796875" style="3" bestFit="1" customWidth="1"/>
    <col min="11" max="11" width="12.453125" style="3" bestFit="1" customWidth="1"/>
    <col min="12" max="12" width="80.90625" style="13" customWidth="1"/>
    <col min="13" max="16384" width="8.7265625" style="3"/>
  </cols>
  <sheetData>
    <row r="1" spans="1:12" x14ac:dyDescent="0.3">
      <c r="A1" s="16" t="s">
        <v>317</v>
      </c>
      <c r="L1" s="14" t="s">
        <v>318</v>
      </c>
    </row>
    <row r="2" spans="1:12" s="25" customFormat="1" ht="26" x14ac:dyDescent="0.35">
      <c r="A2" s="27" t="s">
        <v>0</v>
      </c>
      <c r="B2" s="28" t="s">
        <v>1</v>
      </c>
      <c r="C2" s="28" t="s">
        <v>128</v>
      </c>
      <c r="D2" s="28" t="s">
        <v>2</v>
      </c>
      <c r="E2" s="28" t="s">
        <v>3</v>
      </c>
      <c r="F2" s="28" t="s">
        <v>4</v>
      </c>
      <c r="G2" s="28" t="s">
        <v>5</v>
      </c>
      <c r="H2" s="28" t="s">
        <v>6</v>
      </c>
      <c r="I2" s="28" t="s">
        <v>114</v>
      </c>
      <c r="J2" s="28" t="s">
        <v>7</v>
      </c>
      <c r="K2" s="28" t="s">
        <v>163</v>
      </c>
      <c r="L2" s="29" t="s">
        <v>162</v>
      </c>
    </row>
    <row r="3" spans="1:12" x14ac:dyDescent="0.3">
      <c r="A3" s="41" t="s">
        <v>39</v>
      </c>
      <c r="B3" s="8" t="s">
        <v>40</v>
      </c>
      <c r="C3" s="8" t="s">
        <v>41</v>
      </c>
      <c r="D3" s="8" t="s">
        <v>19</v>
      </c>
      <c r="E3" s="8"/>
      <c r="F3" s="8"/>
      <c r="G3" s="8" t="s">
        <v>13</v>
      </c>
      <c r="H3" s="8" t="s">
        <v>197</v>
      </c>
      <c r="I3" s="36">
        <v>616</v>
      </c>
      <c r="J3" s="35"/>
      <c r="K3" s="36">
        <v>616</v>
      </c>
      <c r="L3" s="24" t="s">
        <v>124</v>
      </c>
    </row>
    <row r="4" spans="1:12" x14ac:dyDescent="0.3">
      <c r="A4" s="41" t="s">
        <v>42</v>
      </c>
      <c r="B4" s="8" t="s">
        <v>40</v>
      </c>
      <c r="C4" s="8" t="s">
        <v>43</v>
      </c>
      <c r="D4" s="8" t="s">
        <v>19</v>
      </c>
      <c r="E4" s="8"/>
      <c r="F4" s="8"/>
      <c r="G4" s="8" t="s">
        <v>13</v>
      </c>
      <c r="H4" s="8" t="s">
        <v>197</v>
      </c>
      <c r="I4" s="36">
        <v>943</v>
      </c>
      <c r="J4" s="35"/>
      <c r="K4" s="36">
        <v>943</v>
      </c>
      <c r="L4" s="24" t="s">
        <v>147</v>
      </c>
    </row>
    <row r="5" spans="1:12" ht="39" x14ac:dyDescent="0.3">
      <c r="A5" s="41" t="s">
        <v>48</v>
      </c>
      <c r="B5" s="8" t="s">
        <v>17</v>
      </c>
      <c r="C5" s="8" t="s">
        <v>10</v>
      </c>
      <c r="D5" s="8" t="s">
        <v>19</v>
      </c>
      <c r="E5" s="8" t="s">
        <v>199</v>
      </c>
      <c r="F5" s="8"/>
      <c r="G5" s="8" t="s">
        <v>13</v>
      </c>
      <c r="H5" s="8" t="s">
        <v>177</v>
      </c>
      <c r="I5" s="36">
        <v>28028</v>
      </c>
      <c r="J5" s="36">
        <v>-7094</v>
      </c>
      <c r="K5" s="36">
        <v>20934</v>
      </c>
      <c r="L5" s="39" t="s">
        <v>387</v>
      </c>
    </row>
    <row r="6" spans="1:12" ht="41.5" customHeight="1" x14ac:dyDescent="0.3">
      <c r="A6" s="41" t="s">
        <v>48</v>
      </c>
      <c r="B6" s="8" t="s">
        <v>17</v>
      </c>
      <c r="C6" s="8" t="s">
        <v>10</v>
      </c>
      <c r="D6" s="8" t="s">
        <v>19</v>
      </c>
      <c r="E6" s="8" t="s">
        <v>200</v>
      </c>
      <c r="F6" s="8"/>
      <c r="G6" s="8" t="s">
        <v>13</v>
      </c>
      <c r="H6" s="8" t="s">
        <v>177</v>
      </c>
      <c r="I6" s="36">
        <v>0.1</v>
      </c>
      <c r="J6" s="36">
        <v>120771</v>
      </c>
      <c r="K6" s="36">
        <v>120771.1</v>
      </c>
      <c r="L6" s="39" t="s">
        <v>388</v>
      </c>
    </row>
    <row r="7" spans="1:12" ht="26" x14ac:dyDescent="0.3">
      <c r="A7" s="41" t="s">
        <v>48</v>
      </c>
      <c r="B7" s="8" t="s">
        <v>17</v>
      </c>
      <c r="C7" s="8" t="s">
        <v>10</v>
      </c>
      <c r="D7" s="8" t="s">
        <v>19</v>
      </c>
      <c r="E7" s="8" t="s">
        <v>201</v>
      </c>
      <c r="F7" s="8"/>
      <c r="G7" s="8" t="s">
        <v>13</v>
      </c>
      <c r="H7" s="8" t="s">
        <v>177</v>
      </c>
      <c r="I7" s="36">
        <v>0.1</v>
      </c>
      <c r="J7" s="36">
        <v>87543</v>
      </c>
      <c r="K7" s="36">
        <v>87543.1</v>
      </c>
      <c r="L7" s="56" t="s">
        <v>374</v>
      </c>
    </row>
    <row r="8" spans="1:12" x14ac:dyDescent="0.3">
      <c r="A8" s="41" t="s">
        <v>48</v>
      </c>
      <c r="B8" s="8" t="s">
        <v>17</v>
      </c>
      <c r="C8" s="8" t="s">
        <v>10</v>
      </c>
      <c r="D8" s="8" t="s">
        <v>19</v>
      </c>
      <c r="E8" s="8" t="s">
        <v>202</v>
      </c>
      <c r="F8" s="8"/>
      <c r="G8" s="8" t="s">
        <v>13</v>
      </c>
      <c r="H8" s="8" t="s">
        <v>197</v>
      </c>
      <c r="I8" s="36">
        <v>0.1</v>
      </c>
      <c r="J8" s="36">
        <v>8100</v>
      </c>
      <c r="K8" s="36">
        <v>8100.1</v>
      </c>
      <c r="L8" s="24" t="s">
        <v>125</v>
      </c>
    </row>
    <row r="9" spans="1:12" ht="26" x14ac:dyDescent="0.3">
      <c r="A9" s="41" t="s">
        <v>8</v>
      </c>
      <c r="B9" s="8" t="s">
        <v>17</v>
      </c>
      <c r="C9" s="8" t="s">
        <v>10</v>
      </c>
      <c r="D9" s="8" t="s">
        <v>66</v>
      </c>
      <c r="E9" s="8" t="s">
        <v>198</v>
      </c>
      <c r="F9" s="8"/>
      <c r="G9" s="8" t="s">
        <v>13</v>
      </c>
      <c r="H9" s="8" t="s">
        <v>73</v>
      </c>
      <c r="I9" s="36">
        <v>0.1</v>
      </c>
      <c r="J9" s="36">
        <v>97000</v>
      </c>
      <c r="K9" s="36">
        <v>97000.1</v>
      </c>
      <c r="L9" s="39" t="s">
        <v>389</v>
      </c>
    </row>
    <row r="10" spans="1:12" ht="26" x14ac:dyDescent="0.3">
      <c r="A10" s="41" t="s">
        <v>203</v>
      </c>
      <c r="B10" s="8" t="s">
        <v>37</v>
      </c>
      <c r="C10" s="8" t="s">
        <v>167</v>
      </c>
      <c r="D10" s="8" t="s">
        <v>19</v>
      </c>
      <c r="E10" s="8" t="s">
        <v>21</v>
      </c>
      <c r="F10" s="8"/>
      <c r="G10" s="8" t="s">
        <v>13</v>
      </c>
      <c r="H10" s="8" t="s">
        <v>177</v>
      </c>
      <c r="I10" s="36">
        <v>67708</v>
      </c>
      <c r="J10" s="36"/>
      <c r="K10" s="36">
        <v>67708</v>
      </c>
      <c r="L10" s="39" t="s">
        <v>385</v>
      </c>
    </row>
    <row r="11" spans="1:12" x14ac:dyDescent="0.3">
      <c r="A11" s="41" t="s">
        <v>71</v>
      </c>
      <c r="B11" s="8" t="s">
        <v>37</v>
      </c>
      <c r="C11" s="8" t="s">
        <v>72</v>
      </c>
      <c r="D11" s="8" t="s">
        <v>19</v>
      </c>
      <c r="E11" s="8" t="s">
        <v>21</v>
      </c>
      <c r="F11" s="8"/>
      <c r="G11" s="8" t="s">
        <v>13</v>
      </c>
      <c r="H11" s="8" t="s">
        <v>197</v>
      </c>
      <c r="I11" s="36">
        <v>5000</v>
      </c>
      <c r="J11" s="36">
        <v>7000</v>
      </c>
      <c r="K11" s="36">
        <v>12000</v>
      </c>
      <c r="L11" s="39" t="s">
        <v>375</v>
      </c>
    </row>
    <row r="12" spans="1:12" ht="26" x14ac:dyDescent="0.3">
      <c r="A12" s="41" t="s">
        <v>204</v>
      </c>
      <c r="B12" s="8" t="s">
        <v>37</v>
      </c>
      <c r="C12" s="8" t="s">
        <v>65</v>
      </c>
      <c r="D12" s="8" t="s">
        <v>205</v>
      </c>
      <c r="E12" s="8" t="s">
        <v>21</v>
      </c>
      <c r="F12" s="8"/>
      <c r="G12" s="8" t="s">
        <v>206</v>
      </c>
      <c r="H12" s="8" t="s">
        <v>197</v>
      </c>
      <c r="I12" s="36">
        <v>4930500</v>
      </c>
      <c r="J12" s="36"/>
      <c r="K12" s="36">
        <v>4930500</v>
      </c>
      <c r="L12" s="39" t="s">
        <v>21</v>
      </c>
    </row>
    <row r="13" spans="1:12" ht="96.5" customHeight="1" x14ac:dyDescent="0.3">
      <c r="A13" s="41" t="s">
        <v>207</v>
      </c>
      <c r="B13" s="8" t="s">
        <v>37</v>
      </c>
      <c r="C13" s="8" t="s">
        <v>10</v>
      </c>
      <c r="D13" s="8" t="s">
        <v>384</v>
      </c>
      <c r="E13" s="8" t="s">
        <v>21</v>
      </c>
      <c r="F13" s="8"/>
      <c r="G13" s="8" t="s">
        <v>13</v>
      </c>
      <c r="H13" s="8" t="s">
        <v>177</v>
      </c>
      <c r="I13" s="36">
        <v>8289486</v>
      </c>
      <c r="J13" s="36">
        <v>-152003</v>
      </c>
      <c r="K13" s="36">
        <v>8137483</v>
      </c>
      <c r="L13" s="59" t="s">
        <v>386</v>
      </c>
    </row>
    <row r="14" spans="1:12" x14ac:dyDescent="0.3">
      <c r="A14" s="41" t="s">
        <v>30</v>
      </c>
      <c r="B14" s="8" t="s">
        <v>208</v>
      </c>
      <c r="C14" s="8" t="s">
        <v>31</v>
      </c>
      <c r="D14" s="8" t="s">
        <v>32</v>
      </c>
      <c r="E14" s="8" t="s">
        <v>209</v>
      </c>
      <c r="F14" s="8"/>
      <c r="G14" s="8" t="s">
        <v>13</v>
      </c>
      <c r="H14" s="8" t="s">
        <v>73</v>
      </c>
      <c r="I14" s="36">
        <v>0.1</v>
      </c>
      <c r="J14" s="36">
        <v>1033645</v>
      </c>
      <c r="K14" s="36">
        <v>1033645.1</v>
      </c>
      <c r="L14" s="57" t="s">
        <v>378</v>
      </c>
    </row>
    <row r="15" spans="1:12" x14ac:dyDescent="0.3">
      <c r="A15" s="41" t="s">
        <v>34</v>
      </c>
      <c r="B15" s="8" t="s">
        <v>208</v>
      </c>
      <c r="C15" s="8" t="s">
        <v>35</v>
      </c>
      <c r="D15" s="8" t="s">
        <v>19</v>
      </c>
      <c r="E15" s="8" t="s">
        <v>217</v>
      </c>
      <c r="F15" s="8"/>
      <c r="G15" s="8" t="s">
        <v>13</v>
      </c>
      <c r="H15" s="8" t="s">
        <v>73</v>
      </c>
      <c r="I15" s="36">
        <v>36015</v>
      </c>
      <c r="J15" s="36">
        <v>37252</v>
      </c>
      <c r="K15" s="36">
        <v>73267</v>
      </c>
      <c r="L15" s="57" t="s">
        <v>376</v>
      </c>
    </row>
    <row r="16" spans="1:12" ht="26" x14ac:dyDescent="0.3">
      <c r="A16" s="41" t="s">
        <v>30</v>
      </c>
      <c r="B16" s="8" t="s">
        <v>208</v>
      </c>
      <c r="C16" s="8" t="s">
        <v>31</v>
      </c>
      <c r="D16" s="8" t="s">
        <v>32</v>
      </c>
      <c r="E16" s="8" t="s">
        <v>210</v>
      </c>
      <c r="F16" s="8"/>
      <c r="G16" s="8" t="s">
        <v>13</v>
      </c>
      <c r="H16" s="8" t="s">
        <v>73</v>
      </c>
      <c r="I16" s="36">
        <v>0.1</v>
      </c>
      <c r="J16" s="36">
        <v>566702</v>
      </c>
      <c r="K16" s="36">
        <v>566702.1</v>
      </c>
      <c r="L16" s="37" t="s">
        <v>380</v>
      </c>
    </row>
    <row r="17" spans="1:12" x14ac:dyDescent="0.3">
      <c r="A17" s="41" t="s">
        <v>30</v>
      </c>
      <c r="B17" s="8" t="s">
        <v>208</v>
      </c>
      <c r="C17" s="8" t="s">
        <v>31</v>
      </c>
      <c r="D17" s="8" t="s">
        <v>211</v>
      </c>
      <c r="E17" s="8" t="s">
        <v>210</v>
      </c>
      <c r="F17" s="8"/>
      <c r="G17" s="8" t="s">
        <v>13</v>
      </c>
      <c r="H17" s="8" t="s">
        <v>73</v>
      </c>
      <c r="I17" s="36">
        <v>0.1</v>
      </c>
      <c r="J17" s="36">
        <v>80520</v>
      </c>
      <c r="K17" s="36">
        <v>80520.100000000006</v>
      </c>
      <c r="L17" s="37" t="s">
        <v>381</v>
      </c>
    </row>
    <row r="18" spans="1:12" x14ac:dyDescent="0.3">
      <c r="A18" s="41" t="s">
        <v>213</v>
      </c>
      <c r="B18" s="8" t="s">
        <v>208</v>
      </c>
      <c r="C18" s="8" t="s">
        <v>31</v>
      </c>
      <c r="D18" s="8" t="s">
        <v>214</v>
      </c>
      <c r="E18" s="8" t="s">
        <v>210</v>
      </c>
      <c r="F18" s="8"/>
      <c r="G18" s="8" t="s">
        <v>13</v>
      </c>
      <c r="H18" s="8" t="s">
        <v>73</v>
      </c>
      <c r="I18" s="36">
        <v>688865</v>
      </c>
      <c r="J18" s="36">
        <v>-71211</v>
      </c>
      <c r="K18" s="36">
        <v>617654</v>
      </c>
      <c r="L18" s="37" t="s">
        <v>381</v>
      </c>
    </row>
    <row r="19" spans="1:12" ht="290" customHeight="1" x14ac:dyDescent="0.3">
      <c r="A19" s="41" t="s">
        <v>34</v>
      </c>
      <c r="B19" s="8" t="s">
        <v>208</v>
      </c>
      <c r="C19" s="8" t="s">
        <v>35</v>
      </c>
      <c r="D19" s="8" t="s">
        <v>19</v>
      </c>
      <c r="E19" s="8" t="s">
        <v>218</v>
      </c>
      <c r="F19" s="8"/>
      <c r="G19" s="8" t="s">
        <v>13</v>
      </c>
      <c r="H19" s="8" t="s">
        <v>73</v>
      </c>
      <c r="I19" s="36">
        <v>1119227</v>
      </c>
      <c r="J19" s="36">
        <v>204716</v>
      </c>
      <c r="K19" s="36">
        <v>1323943</v>
      </c>
      <c r="L19" s="58" t="s">
        <v>379</v>
      </c>
    </row>
    <row r="20" spans="1:12" x14ac:dyDescent="0.3">
      <c r="A20" s="41" t="s">
        <v>30</v>
      </c>
      <c r="B20" s="8" t="s">
        <v>208</v>
      </c>
      <c r="C20" s="8" t="s">
        <v>31</v>
      </c>
      <c r="D20" s="8" t="s">
        <v>32</v>
      </c>
      <c r="E20" s="8" t="s">
        <v>212</v>
      </c>
      <c r="F20" s="8"/>
      <c r="G20" s="8" t="s">
        <v>13</v>
      </c>
      <c r="H20" s="8" t="s">
        <v>73</v>
      </c>
      <c r="I20" s="36">
        <v>0.1</v>
      </c>
      <c r="J20" s="36">
        <v>808198</v>
      </c>
      <c r="K20" s="36">
        <v>808198.1</v>
      </c>
      <c r="L20" s="39" t="s">
        <v>383</v>
      </c>
    </row>
    <row r="21" spans="1:12" ht="26" x14ac:dyDescent="0.3">
      <c r="A21" s="41" t="s">
        <v>215</v>
      </c>
      <c r="B21" s="8" t="s">
        <v>208</v>
      </c>
      <c r="C21" s="8" t="s">
        <v>31</v>
      </c>
      <c r="D21" s="8" t="s">
        <v>211</v>
      </c>
      <c r="E21" s="8" t="s">
        <v>216</v>
      </c>
      <c r="F21" s="8"/>
      <c r="G21" s="8" t="s">
        <v>13</v>
      </c>
      <c r="H21" s="8" t="s">
        <v>73</v>
      </c>
      <c r="I21" s="36">
        <v>276780</v>
      </c>
      <c r="J21" s="36">
        <v>-250000</v>
      </c>
      <c r="K21" s="36">
        <v>26780</v>
      </c>
      <c r="L21" s="39" t="s">
        <v>382</v>
      </c>
    </row>
    <row r="22" spans="1:12" ht="26" x14ac:dyDescent="0.3">
      <c r="A22" s="41" t="s">
        <v>34</v>
      </c>
      <c r="B22" s="8" t="s">
        <v>208</v>
      </c>
      <c r="C22" s="8" t="s">
        <v>35</v>
      </c>
      <c r="D22" s="8" t="s">
        <v>19</v>
      </c>
      <c r="E22" s="8" t="s">
        <v>219</v>
      </c>
      <c r="F22" s="8"/>
      <c r="G22" s="8" t="s">
        <v>13</v>
      </c>
      <c r="H22" s="8" t="s">
        <v>73</v>
      </c>
      <c r="I22" s="36">
        <v>85299</v>
      </c>
      <c r="J22" s="36">
        <v>57011</v>
      </c>
      <c r="K22" s="36">
        <v>142310</v>
      </c>
      <c r="L22" s="57" t="s">
        <v>377</v>
      </c>
    </row>
    <row r="23" spans="1:12" x14ac:dyDescent="0.3">
      <c r="A23" s="42" t="s">
        <v>34</v>
      </c>
      <c r="B23" s="32" t="s">
        <v>208</v>
      </c>
      <c r="C23" s="32" t="s">
        <v>35</v>
      </c>
      <c r="D23" s="32" t="s">
        <v>19</v>
      </c>
      <c r="E23" s="32" t="s">
        <v>220</v>
      </c>
      <c r="F23" s="32"/>
      <c r="G23" s="32" t="s">
        <v>13</v>
      </c>
      <c r="H23" s="32" t="s">
        <v>73</v>
      </c>
      <c r="I23" s="60">
        <v>0.1</v>
      </c>
      <c r="J23" s="60">
        <v>352000</v>
      </c>
      <c r="K23" s="60">
        <v>352000.1</v>
      </c>
      <c r="L23" s="40" t="s">
        <v>383</v>
      </c>
    </row>
    <row r="24" spans="1:12" x14ac:dyDescent="0.3">
      <c r="A24" s="42"/>
      <c r="B24" s="32"/>
      <c r="C24" s="32"/>
      <c r="D24" s="32"/>
      <c r="E24" s="32"/>
      <c r="F24" s="32"/>
      <c r="G24" s="32"/>
      <c r="H24" s="32"/>
      <c r="I24" s="9">
        <f>SUBTOTAL(109,Table113[Esialgne eelarve])</f>
        <v>15528467.899999999</v>
      </c>
      <c r="J24" s="9">
        <f>SUBTOTAL(109,Table113[Muudatused])</f>
        <v>2980150</v>
      </c>
      <c r="K24" s="9">
        <f>SUBTOTAL(109,Table113[Muudetud eelarve])</f>
        <v>18508617.900000002</v>
      </c>
      <c r="L24" s="40"/>
    </row>
    <row r="25" spans="1:12" x14ac:dyDescent="0.3">
      <c r="G25" s="44"/>
      <c r="H25" s="44"/>
      <c r="I25" s="44"/>
      <c r="J25" s="44"/>
      <c r="K25" s="44"/>
      <c r="L25" s="49"/>
    </row>
    <row r="26" spans="1:12" x14ac:dyDescent="0.3">
      <c r="G26" s="44"/>
      <c r="H26" s="44"/>
      <c r="I26" s="44"/>
      <c r="J26" s="44"/>
      <c r="K26" s="44"/>
      <c r="L26" s="49"/>
    </row>
    <row r="27" spans="1:12" x14ac:dyDescent="0.3">
      <c r="G27" s="44"/>
      <c r="H27" s="44"/>
      <c r="I27" s="44"/>
      <c r="J27" s="44"/>
      <c r="K27" s="44"/>
      <c r="L27" s="49"/>
    </row>
    <row r="28" spans="1:12" x14ac:dyDescent="0.3">
      <c r="G28" s="44"/>
      <c r="H28" s="44"/>
      <c r="I28" s="44"/>
      <c r="J28" s="44"/>
      <c r="K28" s="44"/>
      <c r="L28" s="49"/>
    </row>
    <row r="29" spans="1:12" x14ac:dyDescent="0.3">
      <c r="G29" s="44"/>
      <c r="H29" s="44"/>
      <c r="I29" s="44"/>
      <c r="J29" s="44"/>
      <c r="K29" s="44"/>
      <c r="L29" s="49"/>
    </row>
    <row r="30" spans="1:12" x14ac:dyDescent="0.3">
      <c r="G30" s="44"/>
      <c r="H30" s="44"/>
      <c r="I30" s="44"/>
      <c r="J30" s="44"/>
      <c r="K30" s="44"/>
      <c r="L30" s="49"/>
    </row>
    <row r="31" spans="1:12" x14ac:dyDescent="0.3">
      <c r="G31" s="44"/>
      <c r="H31" s="44"/>
      <c r="I31" s="44"/>
      <c r="J31" s="44"/>
      <c r="K31" s="44"/>
      <c r="L31" s="49"/>
    </row>
    <row r="32" spans="1:12" x14ac:dyDescent="0.3">
      <c r="G32" s="44"/>
      <c r="H32" s="44"/>
      <c r="I32" s="44"/>
      <c r="J32" s="44"/>
      <c r="K32" s="44"/>
      <c r="L32" s="49"/>
    </row>
    <row r="33" spans="7:12" x14ac:dyDescent="0.3">
      <c r="G33" s="44"/>
      <c r="H33" s="44"/>
      <c r="I33" s="44"/>
      <c r="J33" s="44"/>
      <c r="K33" s="44"/>
      <c r="L33" s="49"/>
    </row>
    <row r="34" spans="7:12" x14ac:dyDescent="0.3">
      <c r="G34" s="44"/>
      <c r="H34" s="44"/>
      <c r="I34" s="44"/>
      <c r="J34" s="44"/>
      <c r="K34" s="44"/>
      <c r="L34" s="49"/>
    </row>
  </sheetData>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6A588-97C9-4D17-ABCC-0D6EC0ADF99F}">
  <sheetPr>
    <tabColor rgb="FF92D050"/>
  </sheetPr>
  <dimension ref="A1:L12"/>
  <sheetViews>
    <sheetView workbookViewId="0">
      <selection activeCell="A2" sqref="A2"/>
    </sheetView>
  </sheetViews>
  <sheetFormatPr defaultRowHeight="13" x14ac:dyDescent="0.3"/>
  <cols>
    <col min="1" max="1" width="19.90625" style="3" bestFit="1" customWidth="1"/>
    <col min="2" max="2" width="13.26953125" style="3" bestFit="1" customWidth="1"/>
    <col min="3" max="3" width="12.81640625" style="3" bestFit="1" customWidth="1"/>
    <col min="4" max="4" width="10.90625" style="3" bestFit="1" customWidth="1"/>
    <col min="5" max="5" width="13.81640625" style="3" bestFit="1" customWidth="1"/>
    <col min="6" max="6" width="17.26953125" style="3" bestFit="1" customWidth="1"/>
    <col min="7" max="7" width="12.81640625" style="3" bestFit="1" customWidth="1"/>
    <col min="8" max="8" width="13.1796875" style="3" bestFit="1" customWidth="1"/>
    <col min="9" max="9" width="11.54296875" style="3" bestFit="1" customWidth="1"/>
    <col min="10" max="10" width="13.1796875" style="3" bestFit="1" customWidth="1"/>
    <col min="11" max="11" width="12.453125" style="3" bestFit="1" customWidth="1"/>
    <col min="12" max="12" width="46.36328125" style="13" bestFit="1" customWidth="1"/>
    <col min="13" max="16384" width="8.7265625" style="3"/>
  </cols>
  <sheetData>
    <row r="1" spans="1:12" x14ac:dyDescent="0.3">
      <c r="A1" s="15" t="s">
        <v>319</v>
      </c>
      <c r="L1" s="14" t="s">
        <v>320</v>
      </c>
    </row>
    <row r="2" spans="1:12" s="25" customFormat="1" ht="26" x14ac:dyDescent="0.35">
      <c r="A2" s="27" t="s">
        <v>0</v>
      </c>
      <c r="B2" s="28" t="s">
        <v>1</v>
      </c>
      <c r="C2" s="28" t="s">
        <v>128</v>
      </c>
      <c r="D2" s="28" t="s">
        <v>2</v>
      </c>
      <c r="E2" s="28" t="s">
        <v>3</v>
      </c>
      <c r="F2" s="28" t="s">
        <v>4</v>
      </c>
      <c r="G2" s="28" t="s">
        <v>5</v>
      </c>
      <c r="H2" s="28" t="s">
        <v>6</v>
      </c>
      <c r="I2" s="28" t="s">
        <v>114</v>
      </c>
      <c r="J2" s="28" t="s">
        <v>7</v>
      </c>
      <c r="K2" s="28" t="s">
        <v>163</v>
      </c>
      <c r="L2" s="29" t="s">
        <v>162</v>
      </c>
    </row>
    <row r="3" spans="1:12" x14ac:dyDescent="0.3">
      <c r="A3" s="30" t="s">
        <v>39</v>
      </c>
      <c r="B3" s="8" t="s">
        <v>40</v>
      </c>
      <c r="C3" s="8" t="s">
        <v>41</v>
      </c>
      <c r="D3" s="8" t="s">
        <v>19</v>
      </c>
      <c r="E3" s="8"/>
      <c r="F3" s="8"/>
      <c r="G3" s="8" t="s">
        <v>24</v>
      </c>
      <c r="H3" s="8" t="s">
        <v>25</v>
      </c>
      <c r="I3" s="9">
        <v>2287</v>
      </c>
      <c r="J3" s="8"/>
      <c r="K3" s="9">
        <v>2287</v>
      </c>
      <c r="L3" s="24" t="s">
        <v>124</v>
      </c>
    </row>
    <row r="4" spans="1:12" x14ac:dyDescent="0.3">
      <c r="A4" s="30" t="s">
        <v>42</v>
      </c>
      <c r="B4" s="8" t="s">
        <v>40</v>
      </c>
      <c r="C4" s="8" t="s">
        <v>43</v>
      </c>
      <c r="D4" s="8" t="s">
        <v>19</v>
      </c>
      <c r="E4" s="8"/>
      <c r="F4" s="8"/>
      <c r="G4" s="8" t="s">
        <v>24</v>
      </c>
      <c r="H4" s="8" t="s">
        <v>25</v>
      </c>
      <c r="I4" s="9">
        <v>3637</v>
      </c>
      <c r="J4" s="8"/>
      <c r="K4" s="9">
        <v>3637</v>
      </c>
      <c r="L4" s="24" t="s">
        <v>147</v>
      </c>
    </row>
    <row r="5" spans="1:12" x14ac:dyDescent="0.3">
      <c r="A5" s="30" t="s">
        <v>305</v>
      </c>
      <c r="B5" s="8" t="s">
        <v>17</v>
      </c>
      <c r="C5" s="8" t="s">
        <v>306</v>
      </c>
      <c r="D5" s="8" t="s">
        <v>19</v>
      </c>
      <c r="E5" s="8" t="s">
        <v>223</v>
      </c>
      <c r="F5" s="8"/>
      <c r="G5" s="8" t="s">
        <v>24</v>
      </c>
      <c r="H5" s="8" t="s">
        <v>25</v>
      </c>
      <c r="I5" s="9">
        <v>10000</v>
      </c>
      <c r="J5" s="8"/>
      <c r="K5" s="9">
        <v>10000</v>
      </c>
      <c r="L5" s="39" t="s">
        <v>348</v>
      </c>
    </row>
    <row r="6" spans="1:12" x14ac:dyDescent="0.3">
      <c r="A6" s="30" t="s">
        <v>305</v>
      </c>
      <c r="B6" s="8" t="s">
        <v>17</v>
      </c>
      <c r="C6" s="8" t="s">
        <v>306</v>
      </c>
      <c r="D6" s="8" t="s">
        <v>19</v>
      </c>
      <c r="E6" s="8" t="s">
        <v>221</v>
      </c>
      <c r="F6" s="8"/>
      <c r="G6" s="8" t="s">
        <v>24</v>
      </c>
      <c r="H6" s="8" t="s">
        <v>25</v>
      </c>
      <c r="I6" s="9">
        <v>8530</v>
      </c>
      <c r="J6" s="8"/>
      <c r="K6" s="9">
        <v>8530</v>
      </c>
      <c r="L6" s="39" t="s">
        <v>21</v>
      </c>
    </row>
    <row r="7" spans="1:12" x14ac:dyDescent="0.3">
      <c r="A7" s="30" t="s">
        <v>305</v>
      </c>
      <c r="B7" s="8" t="s">
        <v>17</v>
      </c>
      <c r="C7" s="8" t="s">
        <v>306</v>
      </c>
      <c r="D7" s="8" t="s">
        <v>19</v>
      </c>
      <c r="E7" s="8" t="s">
        <v>222</v>
      </c>
      <c r="F7" s="8"/>
      <c r="G7" s="8" t="s">
        <v>24</v>
      </c>
      <c r="H7" s="8" t="s">
        <v>25</v>
      </c>
      <c r="I7" s="9">
        <v>50000</v>
      </c>
      <c r="J7" s="8"/>
      <c r="K7" s="9">
        <v>50000</v>
      </c>
      <c r="L7" s="39"/>
    </row>
    <row r="8" spans="1:12" x14ac:dyDescent="0.3">
      <c r="A8" s="30" t="s">
        <v>48</v>
      </c>
      <c r="B8" s="8" t="s">
        <v>17</v>
      </c>
      <c r="C8" s="8" t="s">
        <v>10</v>
      </c>
      <c r="D8" s="8" t="s">
        <v>19</v>
      </c>
      <c r="E8" s="8" t="s">
        <v>224</v>
      </c>
      <c r="F8" s="8"/>
      <c r="G8" s="8" t="s">
        <v>24</v>
      </c>
      <c r="H8" s="8" t="s">
        <v>25</v>
      </c>
      <c r="I8" s="9">
        <v>0.1</v>
      </c>
      <c r="J8" s="9">
        <v>32000</v>
      </c>
      <c r="K8" s="9">
        <v>32000.1</v>
      </c>
      <c r="L8" s="24" t="s">
        <v>125</v>
      </c>
    </row>
    <row r="9" spans="1:12" ht="26" x14ac:dyDescent="0.3">
      <c r="A9" s="30" t="s">
        <v>30</v>
      </c>
      <c r="B9" s="8" t="s">
        <v>9</v>
      </c>
      <c r="C9" s="8" t="s">
        <v>31</v>
      </c>
      <c r="D9" s="8" t="s">
        <v>56</v>
      </c>
      <c r="E9" s="8" t="s">
        <v>21</v>
      </c>
      <c r="F9" s="8" t="s">
        <v>225</v>
      </c>
      <c r="G9" s="8" t="s">
        <v>24</v>
      </c>
      <c r="H9" s="8" t="s">
        <v>25</v>
      </c>
      <c r="I9" s="9">
        <v>236861</v>
      </c>
      <c r="J9" s="9">
        <v>-236861</v>
      </c>
      <c r="K9" s="9">
        <v>0</v>
      </c>
      <c r="L9" s="39" t="s">
        <v>349</v>
      </c>
    </row>
    <row r="10" spans="1:12" x14ac:dyDescent="0.3">
      <c r="A10" s="30" t="s">
        <v>34</v>
      </c>
      <c r="B10" s="8" t="s">
        <v>9</v>
      </c>
      <c r="C10" s="8" t="s">
        <v>35</v>
      </c>
      <c r="D10" s="8" t="s">
        <v>11</v>
      </c>
      <c r="E10" s="8" t="s">
        <v>21</v>
      </c>
      <c r="F10" s="8" t="s">
        <v>225</v>
      </c>
      <c r="G10" s="8" t="s">
        <v>24</v>
      </c>
      <c r="H10" s="8" t="s">
        <v>25</v>
      </c>
      <c r="I10" s="9">
        <v>11000</v>
      </c>
      <c r="J10" s="9"/>
      <c r="K10" s="9">
        <v>11000</v>
      </c>
      <c r="L10" s="39" t="s">
        <v>226</v>
      </c>
    </row>
    <row r="11" spans="1:12" x14ac:dyDescent="0.3">
      <c r="A11" s="31" t="s">
        <v>8</v>
      </c>
      <c r="B11" s="32" t="s">
        <v>9</v>
      </c>
      <c r="C11" s="32" t="s">
        <v>10</v>
      </c>
      <c r="D11" s="32" t="s">
        <v>11</v>
      </c>
      <c r="E11" s="32" t="s">
        <v>21</v>
      </c>
      <c r="F11" s="32" t="s">
        <v>225</v>
      </c>
      <c r="G11" s="32" t="s">
        <v>24</v>
      </c>
      <c r="H11" s="32" t="s">
        <v>25</v>
      </c>
      <c r="I11" s="33">
        <v>61500</v>
      </c>
      <c r="J11" s="33"/>
      <c r="K11" s="33">
        <v>61500</v>
      </c>
      <c r="L11" s="40" t="s">
        <v>226</v>
      </c>
    </row>
    <row r="12" spans="1:12" x14ac:dyDescent="0.3">
      <c r="A12" s="31"/>
      <c r="B12" s="32"/>
      <c r="C12" s="32"/>
      <c r="D12" s="32"/>
      <c r="E12" s="32"/>
      <c r="F12" s="32"/>
      <c r="G12" s="32"/>
      <c r="H12" s="32"/>
      <c r="I12" s="9">
        <f>SUBTOTAL(109,Table118[Esialgne eelarve])</f>
        <v>383815.1</v>
      </c>
      <c r="J12" s="9">
        <f>SUBTOTAL(109,Table118[Muudatused])</f>
        <v>-204861</v>
      </c>
      <c r="K12" s="9">
        <f>SUBTOTAL(109,Table118[Muudetud eelarve])</f>
        <v>178954.1</v>
      </c>
      <c r="L12" s="40"/>
    </row>
  </sheetData>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C882A-F213-4233-B73B-88934B9B4725}">
  <sheetPr>
    <tabColor rgb="FF92D050"/>
  </sheetPr>
  <dimension ref="A1:L13"/>
  <sheetViews>
    <sheetView workbookViewId="0">
      <selection activeCell="A2" sqref="A2"/>
    </sheetView>
  </sheetViews>
  <sheetFormatPr defaultRowHeight="13" x14ac:dyDescent="0.3"/>
  <cols>
    <col min="1" max="1" width="13.453125" style="3" customWidth="1"/>
    <col min="2" max="2" width="13.26953125" style="3" bestFit="1" customWidth="1"/>
    <col min="3" max="3" width="10.81640625" style="3" customWidth="1"/>
    <col min="4" max="4" width="11.1796875" style="3" customWidth="1"/>
    <col min="5" max="5" width="14.54296875" style="3" customWidth="1"/>
    <col min="6" max="6" width="15.6328125" style="3" bestFit="1" customWidth="1"/>
    <col min="7" max="7" width="10.1796875" style="3" customWidth="1"/>
    <col min="8" max="8" width="13.1796875" style="3" bestFit="1" customWidth="1"/>
    <col min="9" max="11" width="11.08984375" style="3" customWidth="1"/>
    <col min="12" max="12" width="59" style="13" bestFit="1" customWidth="1"/>
    <col min="13" max="16384" width="8.7265625" style="3"/>
  </cols>
  <sheetData>
    <row r="1" spans="1:12" x14ac:dyDescent="0.3">
      <c r="A1" s="15" t="s">
        <v>321</v>
      </c>
      <c r="L1" s="14" t="s">
        <v>322</v>
      </c>
    </row>
    <row r="2" spans="1:12" s="25" customFormat="1" ht="26" x14ac:dyDescent="0.35">
      <c r="A2" s="27" t="s">
        <v>0</v>
      </c>
      <c r="B2" s="28" t="s">
        <v>1</v>
      </c>
      <c r="C2" s="28" t="s">
        <v>128</v>
      </c>
      <c r="D2" s="28" t="s">
        <v>2</v>
      </c>
      <c r="E2" s="28" t="s">
        <v>3</v>
      </c>
      <c r="F2" s="28" t="s">
        <v>4</v>
      </c>
      <c r="G2" s="28" t="s">
        <v>5</v>
      </c>
      <c r="H2" s="28" t="s">
        <v>6</v>
      </c>
      <c r="I2" s="28" t="s">
        <v>114</v>
      </c>
      <c r="J2" s="28" t="s">
        <v>7</v>
      </c>
      <c r="K2" s="28" t="s">
        <v>163</v>
      </c>
      <c r="L2" s="29" t="s">
        <v>162</v>
      </c>
    </row>
    <row r="3" spans="1:12" x14ac:dyDescent="0.3">
      <c r="A3" s="30" t="s">
        <v>39</v>
      </c>
      <c r="B3" s="8" t="s">
        <v>40</v>
      </c>
      <c r="C3" s="8" t="s">
        <v>41</v>
      </c>
      <c r="D3" s="8" t="s">
        <v>19</v>
      </c>
      <c r="E3" s="8"/>
      <c r="F3" s="8"/>
      <c r="G3" s="8" t="s">
        <v>13</v>
      </c>
      <c r="H3" s="8" t="s">
        <v>227</v>
      </c>
      <c r="I3" s="9">
        <v>616</v>
      </c>
      <c r="J3" s="8"/>
      <c r="K3" s="9">
        <v>616</v>
      </c>
      <c r="L3" s="24" t="s">
        <v>124</v>
      </c>
    </row>
    <row r="4" spans="1:12" x14ac:dyDescent="0.3">
      <c r="A4" s="30" t="s">
        <v>42</v>
      </c>
      <c r="B4" s="8" t="s">
        <v>40</v>
      </c>
      <c r="C4" s="8" t="s">
        <v>43</v>
      </c>
      <c r="D4" s="8" t="s">
        <v>19</v>
      </c>
      <c r="E4" s="8"/>
      <c r="F4" s="8"/>
      <c r="G4" s="8" t="s">
        <v>13</v>
      </c>
      <c r="H4" s="8" t="s">
        <v>227</v>
      </c>
      <c r="I4" s="9">
        <v>808</v>
      </c>
      <c r="J4" s="8"/>
      <c r="K4" s="9">
        <v>808</v>
      </c>
      <c r="L4" s="24" t="s">
        <v>147</v>
      </c>
    </row>
    <row r="5" spans="1:12" x14ac:dyDescent="0.3">
      <c r="A5" s="30" t="s">
        <v>48</v>
      </c>
      <c r="B5" s="8" t="s">
        <v>17</v>
      </c>
      <c r="C5" s="8" t="s">
        <v>10</v>
      </c>
      <c r="D5" s="8" t="s">
        <v>19</v>
      </c>
      <c r="E5" s="8" t="s">
        <v>228</v>
      </c>
      <c r="F5" s="8"/>
      <c r="G5" s="8" t="s">
        <v>13</v>
      </c>
      <c r="H5" s="8" t="s">
        <v>227</v>
      </c>
      <c r="I5" s="9">
        <v>0.1</v>
      </c>
      <c r="J5" s="9">
        <v>7000</v>
      </c>
      <c r="K5" s="9">
        <v>7000.1</v>
      </c>
      <c r="L5" s="24" t="s">
        <v>125</v>
      </c>
    </row>
    <row r="6" spans="1:12" x14ac:dyDescent="0.3">
      <c r="A6" s="30" t="s">
        <v>58</v>
      </c>
      <c r="B6" s="8" t="s">
        <v>37</v>
      </c>
      <c r="C6" s="8" t="s">
        <v>59</v>
      </c>
      <c r="D6" s="8" t="s">
        <v>19</v>
      </c>
      <c r="E6" s="8" t="s">
        <v>21</v>
      </c>
      <c r="F6" s="8"/>
      <c r="G6" s="8" t="s">
        <v>13</v>
      </c>
      <c r="H6" s="8" t="s">
        <v>227</v>
      </c>
      <c r="I6" s="9">
        <v>1937</v>
      </c>
      <c r="J6" s="9"/>
      <c r="K6" s="9">
        <v>1937</v>
      </c>
      <c r="L6" s="39" t="s">
        <v>21</v>
      </c>
    </row>
    <row r="7" spans="1:12" ht="26" x14ac:dyDescent="0.3">
      <c r="A7" s="30" t="s">
        <v>34</v>
      </c>
      <c r="B7" s="8" t="s">
        <v>9</v>
      </c>
      <c r="C7" s="8" t="s">
        <v>35</v>
      </c>
      <c r="D7" s="8" t="s">
        <v>11</v>
      </c>
      <c r="E7" s="8" t="s">
        <v>21</v>
      </c>
      <c r="F7" s="8" t="s">
        <v>229</v>
      </c>
      <c r="G7" s="8" t="s">
        <v>21</v>
      </c>
      <c r="H7" s="8" t="s">
        <v>227</v>
      </c>
      <c r="I7" s="9">
        <v>8969</v>
      </c>
      <c r="J7" s="9"/>
      <c r="K7" s="9">
        <v>8969</v>
      </c>
      <c r="L7" s="39" t="s">
        <v>234</v>
      </c>
    </row>
    <row r="8" spans="1:12" ht="26" x14ac:dyDescent="0.3">
      <c r="A8" s="30" t="s">
        <v>8</v>
      </c>
      <c r="B8" s="8" t="s">
        <v>9</v>
      </c>
      <c r="C8" s="8" t="s">
        <v>10</v>
      </c>
      <c r="D8" s="8" t="s">
        <v>11</v>
      </c>
      <c r="E8" s="8" t="s">
        <v>21</v>
      </c>
      <c r="F8" s="8" t="s">
        <v>229</v>
      </c>
      <c r="G8" s="8" t="s">
        <v>21</v>
      </c>
      <c r="H8" s="8" t="s">
        <v>227</v>
      </c>
      <c r="I8" s="9">
        <v>27137</v>
      </c>
      <c r="J8" s="9"/>
      <c r="K8" s="9">
        <v>27137</v>
      </c>
      <c r="L8" s="39" t="s">
        <v>234</v>
      </c>
    </row>
    <row r="9" spans="1:12" x14ac:dyDescent="0.3">
      <c r="A9" s="30" t="s">
        <v>34</v>
      </c>
      <c r="B9" s="8" t="s">
        <v>9</v>
      </c>
      <c r="C9" s="8" t="s">
        <v>35</v>
      </c>
      <c r="D9" s="8" t="s">
        <v>11</v>
      </c>
      <c r="E9" s="8" t="s">
        <v>21</v>
      </c>
      <c r="F9" s="8" t="s">
        <v>230</v>
      </c>
      <c r="G9" s="8" t="s">
        <v>21</v>
      </c>
      <c r="H9" s="8" t="s">
        <v>227</v>
      </c>
      <c r="I9" s="9">
        <v>14402</v>
      </c>
      <c r="J9" s="9"/>
      <c r="K9" s="9">
        <v>14402</v>
      </c>
      <c r="L9" s="39" t="s">
        <v>231</v>
      </c>
    </row>
    <row r="10" spans="1:12" x14ac:dyDescent="0.3">
      <c r="A10" s="30" t="s">
        <v>8</v>
      </c>
      <c r="B10" s="8" t="s">
        <v>9</v>
      </c>
      <c r="C10" s="8" t="s">
        <v>10</v>
      </c>
      <c r="D10" s="8" t="s">
        <v>11</v>
      </c>
      <c r="E10" s="8" t="s">
        <v>21</v>
      </c>
      <c r="F10" s="8" t="s">
        <v>230</v>
      </c>
      <c r="G10" s="8" t="s">
        <v>21</v>
      </c>
      <c r="H10" s="8" t="s">
        <v>227</v>
      </c>
      <c r="I10" s="9">
        <v>43575</v>
      </c>
      <c r="J10" s="9"/>
      <c r="K10" s="9">
        <v>43575</v>
      </c>
      <c r="L10" s="39" t="s">
        <v>231</v>
      </c>
    </row>
    <row r="11" spans="1:12" ht="26" x14ac:dyDescent="0.3">
      <c r="A11" s="30" t="s">
        <v>34</v>
      </c>
      <c r="B11" s="8" t="s">
        <v>9</v>
      </c>
      <c r="C11" s="8" t="s">
        <v>35</v>
      </c>
      <c r="D11" s="8" t="s">
        <v>11</v>
      </c>
      <c r="E11" s="8" t="s">
        <v>21</v>
      </c>
      <c r="F11" s="8" t="s">
        <v>232</v>
      </c>
      <c r="G11" s="8" t="s">
        <v>21</v>
      </c>
      <c r="H11" s="8" t="s">
        <v>227</v>
      </c>
      <c r="I11" s="9">
        <v>11732</v>
      </c>
      <c r="J11" s="9"/>
      <c r="K11" s="9">
        <v>11732</v>
      </c>
      <c r="L11" s="39" t="s">
        <v>233</v>
      </c>
    </row>
    <row r="12" spans="1:12" ht="26" x14ac:dyDescent="0.3">
      <c r="A12" s="31" t="s">
        <v>8</v>
      </c>
      <c r="B12" s="32" t="s">
        <v>9</v>
      </c>
      <c r="C12" s="32" t="s">
        <v>10</v>
      </c>
      <c r="D12" s="32" t="s">
        <v>11</v>
      </c>
      <c r="E12" s="32" t="s">
        <v>21</v>
      </c>
      <c r="F12" s="32" t="s">
        <v>232</v>
      </c>
      <c r="G12" s="32" t="s">
        <v>21</v>
      </c>
      <c r="H12" s="32" t="s">
        <v>227</v>
      </c>
      <c r="I12" s="33">
        <v>35498</v>
      </c>
      <c r="J12" s="33"/>
      <c r="K12" s="33">
        <v>35498</v>
      </c>
      <c r="L12" s="40" t="s">
        <v>233</v>
      </c>
    </row>
    <row r="13" spans="1:12" x14ac:dyDescent="0.3">
      <c r="A13" s="31"/>
      <c r="B13" s="32"/>
      <c r="C13" s="32"/>
      <c r="D13" s="32"/>
      <c r="E13" s="32"/>
      <c r="F13" s="32"/>
      <c r="G13" s="32"/>
      <c r="H13" s="32"/>
      <c r="I13" s="9">
        <f>SUBTOTAL(109,Table119[Esialgne eelarve])</f>
        <v>144674.1</v>
      </c>
      <c r="J13" s="9">
        <f>SUBTOTAL(109,Table119[Muudatused])</f>
        <v>7000</v>
      </c>
      <c r="K13" s="9">
        <f>SUBTOTAL(109,Table119[Muudetud eelarve])</f>
        <v>151674.1</v>
      </c>
      <c r="L13" s="40"/>
    </row>
  </sheetData>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20C5A-69CB-4E49-9757-95000CB5CD6B}">
  <sheetPr>
    <tabColor rgb="FF92D050"/>
  </sheetPr>
  <dimension ref="A1:L6"/>
  <sheetViews>
    <sheetView workbookViewId="0">
      <selection activeCell="A2" sqref="A2"/>
    </sheetView>
  </sheetViews>
  <sheetFormatPr defaultRowHeight="13" x14ac:dyDescent="0.3"/>
  <cols>
    <col min="1" max="1" width="18.26953125" style="3" bestFit="1" customWidth="1"/>
    <col min="2" max="2" width="13.26953125" style="3" bestFit="1" customWidth="1"/>
    <col min="3" max="3" width="12.81640625" style="3" bestFit="1" customWidth="1"/>
    <col min="4" max="5" width="10.90625" style="3" bestFit="1" customWidth="1"/>
    <col min="6" max="6" width="9.7265625" style="3" bestFit="1" customWidth="1"/>
    <col min="7" max="7" width="12.81640625" style="3" bestFit="1" customWidth="1"/>
    <col min="8" max="8" width="13.1796875" style="3" bestFit="1" customWidth="1"/>
    <col min="9" max="9" width="11.54296875" style="3" bestFit="1" customWidth="1"/>
    <col min="10" max="10" width="13.1796875" style="3" bestFit="1" customWidth="1"/>
    <col min="11" max="11" width="12.453125" style="3" bestFit="1" customWidth="1"/>
    <col min="12" max="12" width="31.08984375" style="13" customWidth="1"/>
    <col min="13" max="16384" width="8.7265625" style="3"/>
  </cols>
  <sheetData>
    <row r="1" spans="1:12" x14ac:dyDescent="0.3">
      <c r="A1" s="15" t="s">
        <v>323</v>
      </c>
      <c r="L1" s="14" t="s">
        <v>324</v>
      </c>
    </row>
    <row r="2" spans="1:12" s="25" customFormat="1" ht="26" x14ac:dyDescent="0.35">
      <c r="A2" s="27" t="s">
        <v>0</v>
      </c>
      <c r="B2" s="28" t="s">
        <v>1</v>
      </c>
      <c r="C2" s="28" t="s">
        <v>128</v>
      </c>
      <c r="D2" s="28" t="s">
        <v>2</v>
      </c>
      <c r="E2" s="28" t="s">
        <v>3</v>
      </c>
      <c r="F2" s="28" t="s">
        <v>4</v>
      </c>
      <c r="G2" s="28" t="s">
        <v>5</v>
      </c>
      <c r="H2" s="28" t="s">
        <v>6</v>
      </c>
      <c r="I2" s="28" t="s">
        <v>114</v>
      </c>
      <c r="J2" s="28" t="s">
        <v>7</v>
      </c>
      <c r="K2" s="28" t="s">
        <v>163</v>
      </c>
      <c r="L2" s="29" t="s">
        <v>162</v>
      </c>
    </row>
    <row r="3" spans="1:12" ht="26" x14ac:dyDescent="0.3">
      <c r="A3" s="30" t="s">
        <v>39</v>
      </c>
      <c r="B3" s="8" t="s">
        <v>40</v>
      </c>
      <c r="C3" s="8" t="s">
        <v>41</v>
      </c>
      <c r="D3" s="8" t="s">
        <v>19</v>
      </c>
      <c r="E3" s="8"/>
      <c r="F3" s="8"/>
      <c r="G3" s="8" t="s">
        <v>13</v>
      </c>
      <c r="H3" s="8" t="s">
        <v>235</v>
      </c>
      <c r="I3" s="9">
        <v>631</v>
      </c>
      <c r="J3" s="8"/>
      <c r="K3" s="9">
        <v>631</v>
      </c>
      <c r="L3" s="1" t="s">
        <v>350</v>
      </c>
    </row>
    <row r="4" spans="1:12" x14ac:dyDescent="0.3">
      <c r="A4" s="30" t="s">
        <v>80</v>
      </c>
      <c r="B4" s="8" t="s">
        <v>40</v>
      </c>
      <c r="C4" s="8" t="s">
        <v>81</v>
      </c>
      <c r="D4" s="8" t="s">
        <v>19</v>
      </c>
      <c r="E4" s="8"/>
      <c r="F4" s="8"/>
      <c r="G4" s="8" t="s">
        <v>13</v>
      </c>
      <c r="H4" s="8" t="s">
        <v>235</v>
      </c>
      <c r="I4" s="9">
        <v>812</v>
      </c>
      <c r="J4" s="8"/>
      <c r="K4" s="9">
        <v>812</v>
      </c>
      <c r="L4" s="1" t="s">
        <v>351</v>
      </c>
    </row>
    <row r="5" spans="1:12" x14ac:dyDescent="0.3">
      <c r="A5" s="31" t="s">
        <v>48</v>
      </c>
      <c r="B5" s="32" t="s">
        <v>17</v>
      </c>
      <c r="C5" s="32" t="s">
        <v>10</v>
      </c>
      <c r="D5" s="32" t="s">
        <v>19</v>
      </c>
      <c r="E5" s="32" t="s">
        <v>236</v>
      </c>
      <c r="F5" s="32"/>
      <c r="G5" s="32" t="s">
        <v>13</v>
      </c>
      <c r="H5" s="32" t="s">
        <v>235</v>
      </c>
      <c r="I5" s="33">
        <v>0.1</v>
      </c>
      <c r="J5" s="33">
        <v>6200</v>
      </c>
      <c r="K5" s="33">
        <v>6200.1</v>
      </c>
      <c r="L5" s="1" t="s">
        <v>352</v>
      </c>
    </row>
    <row r="6" spans="1:12" x14ac:dyDescent="0.3">
      <c r="A6" s="31"/>
      <c r="B6" s="32"/>
      <c r="C6" s="32"/>
      <c r="D6" s="32"/>
      <c r="E6" s="32"/>
      <c r="F6" s="32"/>
      <c r="G6" s="32"/>
      <c r="H6" s="32"/>
      <c r="I6" s="9">
        <f>SUBTOTAL(109,Table120[Esialgne eelarve])</f>
        <v>1443.1</v>
      </c>
      <c r="J6" s="9">
        <f>SUBTOTAL(109,Table120[Muudatused])</f>
        <v>6200</v>
      </c>
      <c r="K6" s="9">
        <f>SUBTOTAL(109,Table120[Muudetud eelarve])</f>
        <v>7643.1</v>
      </c>
      <c r="L6" s="40"/>
    </row>
  </sheetData>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7BADB-0E8D-4540-B746-922A182F6695}">
  <sheetPr>
    <tabColor rgb="FF92D050"/>
  </sheetPr>
  <dimension ref="A1:L6"/>
  <sheetViews>
    <sheetView workbookViewId="0">
      <selection activeCell="D19" sqref="D19"/>
    </sheetView>
  </sheetViews>
  <sheetFormatPr defaultRowHeight="13" x14ac:dyDescent="0.3"/>
  <cols>
    <col min="1" max="1" width="18.26953125" style="3" bestFit="1" customWidth="1"/>
    <col min="2" max="2" width="13.26953125" style="3" bestFit="1" customWidth="1"/>
    <col min="3" max="3" width="12.81640625" style="3" bestFit="1" customWidth="1"/>
    <col min="4" max="5" width="10.90625" style="3" bestFit="1" customWidth="1"/>
    <col min="6" max="6" width="9.7265625" style="3" bestFit="1" customWidth="1"/>
    <col min="7" max="7" width="12.81640625" style="3" bestFit="1" customWidth="1"/>
    <col min="8" max="8" width="13.1796875" style="3" bestFit="1" customWidth="1"/>
    <col min="9" max="9" width="11.54296875" style="3" bestFit="1" customWidth="1"/>
    <col min="10" max="10" width="13.1796875" style="3" bestFit="1" customWidth="1"/>
    <col min="11" max="11" width="12.453125" style="3" bestFit="1" customWidth="1"/>
    <col min="12" max="12" width="37.1796875" style="26" bestFit="1" customWidth="1"/>
    <col min="13" max="16384" width="8.7265625" style="3"/>
  </cols>
  <sheetData>
    <row r="1" spans="1:12" x14ac:dyDescent="0.3">
      <c r="A1" s="15" t="s">
        <v>325</v>
      </c>
      <c r="L1" s="46" t="s">
        <v>326</v>
      </c>
    </row>
    <row r="2" spans="1:12" s="25" customFormat="1" ht="26" x14ac:dyDescent="0.35">
      <c r="A2" s="27" t="s">
        <v>0</v>
      </c>
      <c r="B2" s="28" t="s">
        <v>1</v>
      </c>
      <c r="C2" s="28" t="s">
        <v>128</v>
      </c>
      <c r="D2" s="28" t="s">
        <v>2</v>
      </c>
      <c r="E2" s="28" t="s">
        <v>3</v>
      </c>
      <c r="F2" s="28" t="s">
        <v>4</v>
      </c>
      <c r="G2" s="28" t="s">
        <v>5</v>
      </c>
      <c r="H2" s="28" t="s">
        <v>6</v>
      </c>
      <c r="I2" s="28" t="s">
        <v>114</v>
      </c>
      <c r="J2" s="28" t="s">
        <v>7</v>
      </c>
      <c r="K2" s="28" t="s">
        <v>163</v>
      </c>
      <c r="L2" s="29" t="s">
        <v>162</v>
      </c>
    </row>
    <row r="3" spans="1:12" x14ac:dyDescent="0.3">
      <c r="A3" s="30" t="s">
        <v>39</v>
      </c>
      <c r="B3" s="8" t="s">
        <v>40</v>
      </c>
      <c r="C3" s="8" t="s">
        <v>41</v>
      </c>
      <c r="D3" s="8" t="s">
        <v>19</v>
      </c>
      <c r="E3" s="8"/>
      <c r="F3" s="8"/>
      <c r="G3" s="8" t="s">
        <v>13</v>
      </c>
      <c r="H3" s="8" t="s">
        <v>237</v>
      </c>
      <c r="I3" s="9">
        <v>616</v>
      </c>
      <c r="J3" s="8"/>
      <c r="K3" s="9">
        <v>616</v>
      </c>
      <c r="L3" s="24" t="s">
        <v>124</v>
      </c>
    </row>
    <row r="4" spans="1:12" x14ac:dyDescent="0.3">
      <c r="A4" s="30" t="s">
        <v>42</v>
      </c>
      <c r="B4" s="8" t="s">
        <v>40</v>
      </c>
      <c r="C4" s="8" t="s">
        <v>43</v>
      </c>
      <c r="D4" s="8" t="s">
        <v>19</v>
      </c>
      <c r="E4" s="8"/>
      <c r="F4" s="8"/>
      <c r="G4" s="8" t="s">
        <v>13</v>
      </c>
      <c r="H4" s="8" t="s">
        <v>237</v>
      </c>
      <c r="I4" s="9">
        <v>943</v>
      </c>
      <c r="J4" s="8"/>
      <c r="K4" s="9">
        <v>943</v>
      </c>
      <c r="L4" s="24" t="s">
        <v>147</v>
      </c>
    </row>
    <row r="5" spans="1:12" x14ac:dyDescent="0.3">
      <c r="A5" s="31" t="s">
        <v>48</v>
      </c>
      <c r="B5" s="32" t="s">
        <v>17</v>
      </c>
      <c r="C5" s="32" t="s">
        <v>10</v>
      </c>
      <c r="D5" s="32" t="s">
        <v>19</v>
      </c>
      <c r="E5" s="32" t="s">
        <v>238</v>
      </c>
      <c r="F5" s="32"/>
      <c r="G5" s="32" t="s">
        <v>13</v>
      </c>
      <c r="H5" s="32" t="s">
        <v>237</v>
      </c>
      <c r="I5" s="33">
        <v>0.1</v>
      </c>
      <c r="J5" s="33">
        <v>8600</v>
      </c>
      <c r="K5" s="33">
        <v>8600.1</v>
      </c>
      <c r="L5" s="24" t="s">
        <v>125</v>
      </c>
    </row>
    <row r="6" spans="1:12" x14ac:dyDescent="0.3">
      <c r="A6" s="31"/>
      <c r="B6" s="32"/>
      <c r="C6" s="32"/>
      <c r="D6" s="32"/>
      <c r="E6" s="32"/>
      <c r="F6" s="32"/>
      <c r="G6" s="32"/>
      <c r="H6" s="32"/>
      <c r="I6" s="9">
        <f>SUBTOTAL(109,Table122[Esialgne eelarve])</f>
        <v>1559.1</v>
      </c>
      <c r="J6" s="9">
        <f>SUBTOTAL(109,Table122[Muudatused])</f>
        <v>8600</v>
      </c>
      <c r="K6" s="9">
        <f>SUBTOTAL(109,Table122[Muudetud eelarve])</f>
        <v>10159.1</v>
      </c>
      <c r="L6" s="43"/>
    </row>
  </sheetData>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40F1A-3E87-4536-BD98-0B4C02086AB8}">
  <sheetPr>
    <tabColor rgb="FF92D050"/>
  </sheetPr>
  <dimension ref="A1:L7"/>
  <sheetViews>
    <sheetView workbookViewId="0">
      <selection activeCell="A2" sqref="A2"/>
    </sheetView>
  </sheetViews>
  <sheetFormatPr defaultRowHeight="13" x14ac:dyDescent="0.3"/>
  <cols>
    <col min="1" max="1" width="13.453125" style="3" bestFit="1" customWidth="1"/>
    <col min="2" max="2" width="13.26953125" style="3" bestFit="1" customWidth="1"/>
    <col min="3" max="3" width="12.81640625" style="3" bestFit="1" customWidth="1"/>
    <col min="4" max="4" width="10.90625" style="3" bestFit="1" customWidth="1"/>
    <col min="5" max="5" width="13.453125" style="3" bestFit="1" customWidth="1"/>
    <col min="6" max="6" width="9.7265625" style="3" bestFit="1" customWidth="1"/>
    <col min="7" max="7" width="12.81640625" style="3" bestFit="1" customWidth="1"/>
    <col min="8" max="8" width="13.1796875" style="3" bestFit="1" customWidth="1"/>
    <col min="9" max="9" width="11.54296875" style="3" bestFit="1" customWidth="1"/>
    <col min="10" max="10" width="13.1796875" style="3" bestFit="1" customWidth="1"/>
    <col min="11" max="11" width="12.453125" style="3" bestFit="1" customWidth="1"/>
    <col min="12" max="12" width="23.81640625" style="13" bestFit="1" customWidth="1"/>
    <col min="13" max="16384" width="8.7265625" style="3"/>
  </cols>
  <sheetData>
    <row r="1" spans="1:12" x14ac:dyDescent="0.3">
      <c r="A1" s="15" t="s">
        <v>327</v>
      </c>
      <c r="L1" s="14" t="s">
        <v>328</v>
      </c>
    </row>
    <row r="2" spans="1:12" s="25" customFormat="1" ht="26" x14ac:dyDescent="0.35">
      <c r="A2" s="27" t="s">
        <v>0</v>
      </c>
      <c r="B2" s="28" t="s">
        <v>1</v>
      </c>
      <c r="C2" s="28" t="s">
        <v>128</v>
      </c>
      <c r="D2" s="28" t="s">
        <v>2</v>
      </c>
      <c r="E2" s="28" t="s">
        <v>3</v>
      </c>
      <c r="F2" s="28" t="s">
        <v>4</v>
      </c>
      <c r="G2" s="28" t="s">
        <v>5</v>
      </c>
      <c r="H2" s="28" t="s">
        <v>6</v>
      </c>
      <c r="I2" s="28" t="s">
        <v>114</v>
      </c>
      <c r="J2" s="28" t="s">
        <v>7</v>
      </c>
      <c r="K2" s="28" t="s">
        <v>163</v>
      </c>
      <c r="L2" s="29" t="s">
        <v>162</v>
      </c>
    </row>
    <row r="3" spans="1:12" ht="39" x14ac:dyDescent="0.3">
      <c r="A3" s="30" t="s">
        <v>39</v>
      </c>
      <c r="B3" s="8" t="s">
        <v>40</v>
      </c>
      <c r="C3" s="8" t="s">
        <v>41</v>
      </c>
      <c r="D3" s="8" t="s">
        <v>19</v>
      </c>
      <c r="E3" s="8"/>
      <c r="F3" s="8"/>
      <c r="G3" s="8" t="s">
        <v>13</v>
      </c>
      <c r="H3" s="8" t="s">
        <v>239</v>
      </c>
      <c r="I3" s="9">
        <v>11000</v>
      </c>
      <c r="J3" s="8"/>
      <c r="K3" s="9">
        <v>11000</v>
      </c>
      <c r="L3" s="1" t="s">
        <v>350</v>
      </c>
    </row>
    <row r="4" spans="1:12" x14ac:dyDescent="0.3">
      <c r="A4" s="30" t="s">
        <v>80</v>
      </c>
      <c r="B4" s="8" t="s">
        <v>40</v>
      </c>
      <c r="C4" s="8" t="s">
        <v>81</v>
      </c>
      <c r="D4" s="8" t="s">
        <v>19</v>
      </c>
      <c r="E4" s="8"/>
      <c r="F4" s="8"/>
      <c r="G4" s="8" t="s">
        <v>13</v>
      </c>
      <c r="H4" s="8" t="s">
        <v>239</v>
      </c>
      <c r="I4" s="9">
        <v>18719</v>
      </c>
      <c r="J4" s="8"/>
      <c r="K4" s="9">
        <v>18719</v>
      </c>
      <c r="L4" s="1" t="s">
        <v>351</v>
      </c>
    </row>
    <row r="5" spans="1:12" x14ac:dyDescent="0.3">
      <c r="A5" s="30" t="s">
        <v>34</v>
      </c>
      <c r="B5" s="8" t="s">
        <v>17</v>
      </c>
      <c r="C5" s="8" t="s">
        <v>35</v>
      </c>
      <c r="D5" s="8" t="s">
        <v>19</v>
      </c>
      <c r="E5" s="8" t="s">
        <v>240</v>
      </c>
      <c r="F5" s="8"/>
      <c r="G5" s="8" t="s">
        <v>13</v>
      </c>
      <c r="H5" s="8" t="s">
        <v>239</v>
      </c>
      <c r="I5" s="9">
        <v>5000</v>
      </c>
      <c r="J5" s="8"/>
      <c r="K5" s="9">
        <v>5000</v>
      </c>
      <c r="L5" s="39" t="s">
        <v>241</v>
      </c>
    </row>
    <row r="6" spans="1:12" x14ac:dyDescent="0.3">
      <c r="A6" s="31" t="s">
        <v>48</v>
      </c>
      <c r="B6" s="32" t="s">
        <v>17</v>
      </c>
      <c r="C6" s="32" t="s">
        <v>10</v>
      </c>
      <c r="D6" s="32" t="s">
        <v>19</v>
      </c>
      <c r="E6" s="32" t="s">
        <v>242</v>
      </c>
      <c r="F6" s="32"/>
      <c r="G6" s="32" t="s">
        <v>13</v>
      </c>
      <c r="H6" s="32" t="s">
        <v>239</v>
      </c>
      <c r="I6" s="33">
        <v>0.1</v>
      </c>
      <c r="J6" s="33">
        <v>17200</v>
      </c>
      <c r="K6" s="33">
        <v>17200.099999999999</v>
      </c>
      <c r="L6" s="24" t="s">
        <v>125</v>
      </c>
    </row>
    <row r="7" spans="1:12" x14ac:dyDescent="0.3">
      <c r="A7" s="31"/>
      <c r="B7" s="32"/>
      <c r="C7" s="32"/>
      <c r="D7" s="32"/>
      <c r="E7" s="32"/>
      <c r="F7" s="32"/>
      <c r="G7" s="32"/>
      <c r="H7" s="32"/>
      <c r="I7" s="9">
        <f>SUBTOTAL(109,Table123[Esialgne eelarve])</f>
        <v>34719.1</v>
      </c>
      <c r="J7" s="9">
        <f>SUBTOTAL(109,Table123[Muudatused])</f>
        <v>17200</v>
      </c>
      <c r="K7" s="9">
        <f>SUBTOTAL(109,Table123[Muudetud eelarve])</f>
        <v>51919.1</v>
      </c>
      <c r="L7" s="40"/>
    </row>
  </sheetData>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D3801-9F8D-4B30-B23D-18BC904006D8}">
  <sheetPr>
    <tabColor rgb="FF92D050"/>
  </sheetPr>
  <dimension ref="A1:L12"/>
  <sheetViews>
    <sheetView topLeftCell="A5" workbookViewId="0">
      <selection activeCell="L17" sqref="L17"/>
    </sheetView>
  </sheetViews>
  <sheetFormatPr defaultRowHeight="13" x14ac:dyDescent="0.3"/>
  <cols>
    <col min="1" max="1" width="19.90625" style="3" bestFit="1" customWidth="1"/>
    <col min="2" max="2" width="13.26953125" style="3" bestFit="1" customWidth="1"/>
    <col min="3" max="3" width="12.81640625" style="3" bestFit="1" customWidth="1"/>
    <col min="4" max="4" width="10.90625" style="3" bestFit="1" customWidth="1"/>
    <col min="5" max="5" width="13.6328125" style="3" bestFit="1" customWidth="1"/>
    <col min="6" max="6" width="9.7265625" style="3" bestFit="1" customWidth="1"/>
    <col min="7" max="7" width="12.81640625" style="3" bestFit="1" customWidth="1"/>
    <col min="8" max="8" width="13.1796875" style="3" bestFit="1" customWidth="1"/>
    <col min="9" max="9" width="11.54296875" style="3" bestFit="1" customWidth="1"/>
    <col min="10" max="10" width="13.1796875" style="3" bestFit="1" customWidth="1"/>
    <col min="11" max="11" width="12.453125" style="3" bestFit="1" customWidth="1"/>
    <col min="12" max="12" width="62.81640625" style="13" customWidth="1"/>
    <col min="13" max="16384" width="8.7265625" style="3"/>
  </cols>
  <sheetData>
    <row r="1" spans="1:12" x14ac:dyDescent="0.3">
      <c r="A1" s="15" t="s">
        <v>329</v>
      </c>
      <c r="L1" s="14" t="s">
        <v>330</v>
      </c>
    </row>
    <row r="2" spans="1:12" s="25" customFormat="1" ht="26" x14ac:dyDescent="0.35">
      <c r="A2" s="27" t="s">
        <v>0</v>
      </c>
      <c r="B2" s="28" t="s">
        <v>1</v>
      </c>
      <c r="C2" s="28" t="s">
        <v>128</v>
      </c>
      <c r="D2" s="28" t="s">
        <v>2</v>
      </c>
      <c r="E2" s="28" t="s">
        <v>3</v>
      </c>
      <c r="F2" s="28" t="s">
        <v>4</v>
      </c>
      <c r="G2" s="28" t="s">
        <v>5</v>
      </c>
      <c r="H2" s="28" t="s">
        <v>6</v>
      </c>
      <c r="I2" s="28" t="s">
        <v>114</v>
      </c>
      <c r="J2" s="28" t="s">
        <v>7</v>
      </c>
      <c r="K2" s="28" t="s">
        <v>163</v>
      </c>
      <c r="L2" s="29" t="s">
        <v>162</v>
      </c>
    </row>
    <row r="3" spans="1:12" x14ac:dyDescent="0.3">
      <c r="A3" s="30" t="s">
        <v>39</v>
      </c>
      <c r="B3" s="8" t="s">
        <v>40</v>
      </c>
      <c r="C3" s="8" t="s">
        <v>41</v>
      </c>
      <c r="D3" s="8" t="s">
        <v>19</v>
      </c>
      <c r="E3" s="8"/>
      <c r="F3" s="8"/>
      <c r="G3" s="8" t="s">
        <v>13</v>
      </c>
      <c r="H3" s="8" t="s">
        <v>14</v>
      </c>
      <c r="I3" s="9">
        <v>880</v>
      </c>
      <c r="J3" s="8"/>
      <c r="K3" s="36">
        <v>880</v>
      </c>
      <c r="L3" s="24" t="s">
        <v>124</v>
      </c>
    </row>
    <row r="4" spans="1:12" x14ac:dyDescent="0.3">
      <c r="A4" s="30" t="s">
        <v>42</v>
      </c>
      <c r="B4" s="8" t="s">
        <v>40</v>
      </c>
      <c r="C4" s="8" t="s">
        <v>43</v>
      </c>
      <c r="D4" s="8" t="s">
        <v>19</v>
      </c>
      <c r="E4" s="8"/>
      <c r="F4" s="8"/>
      <c r="G4" s="8" t="s">
        <v>13</v>
      </c>
      <c r="H4" s="8" t="s">
        <v>14</v>
      </c>
      <c r="I4" s="9">
        <v>1341</v>
      </c>
      <c r="J4" s="8"/>
      <c r="K4" s="36">
        <v>1341</v>
      </c>
      <c r="L4" s="24" t="s">
        <v>147</v>
      </c>
    </row>
    <row r="5" spans="1:12" ht="52" x14ac:dyDescent="0.3">
      <c r="A5" s="30" t="s">
        <v>16</v>
      </c>
      <c r="B5" s="8" t="s">
        <v>17</v>
      </c>
      <c r="C5" s="8" t="s">
        <v>18</v>
      </c>
      <c r="D5" s="8" t="s">
        <v>19</v>
      </c>
      <c r="E5" s="8" t="s">
        <v>245</v>
      </c>
      <c r="F5" s="8"/>
      <c r="G5" s="8" t="s">
        <v>13</v>
      </c>
      <c r="H5" s="8" t="s">
        <v>73</v>
      </c>
      <c r="I5" s="9">
        <v>23473</v>
      </c>
      <c r="J5" s="9">
        <v>89209</v>
      </c>
      <c r="K5" s="36">
        <v>112682</v>
      </c>
      <c r="L5" s="39" t="s">
        <v>353</v>
      </c>
    </row>
    <row r="6" spans="1:12" x14ac:dyDescent="0.3">
      <c r="A6" s="30" t="s">
        <v>30</v>
      </c>
      <c r="B6" s="8" t="s">
        <v>17</v>
      </c>
      <c r="C6" s="8" t="s">
        <v>31</v>
      </c>
      <c r="D6" s="8" t="s">
        <v>32</v>
      </c>
      <c r="E6" s="8" t="s">
        <v>245</v>
      </c>
      <c r="F6" s="8"/>
      <c r="G6" s="8" t="s">
        <v>13</v>
      </c>
      <c r="H6" s="8" t="s">
        <v>73</v>
      </c>
      <c r="I6" s="9">
        <v>0.1</v>
      </c>
      <c r="J6" s="9">
        <v>54867</v>
      </c>
      <c r="K6" s="36">
        <v>54867.1</v>
      </c>
      <c r="L6" s="39"/>
    </row>
    <row r="7" spans="1:12" x14ac:dyDescent="0.3">
      <c r="A7" s="30" t="s">
        <v>48</v>
      </c>
      <c r="B7" s="8" t="s">
        <v>17</v>
      </c>
      <c r="C7" s="8" t="s">
        <v>10</v>
      </c>
      <c r="D7" s="8" t="s">
        <v>19</v>
      </c>
      <c r="E7" s="8" t="s">
        <v>248</v>
      </c>
      <c r="F7" s="8"/>
      <c r="G7" s="8" t="s">
        <v>13</v>
      </c>
      <c r="H7" s="8" t="s">
        <v>14</v>
      </c>
      <c r="I7" s="9">
        <v>0.1</v>
      </c>
      <c r="J7" s="9">
        <v>13000</v>
      </c>
      <c r="K7" s="36">
        <v>13000.1</v>
      </c>
      <c r="L7" s="24" t="s">
        <v>125</v>
      </c>
    </row>
    <row r="8" spans="1:12" x14ac:dyDescent="0.3">
      <c r="A8" s="30" t="s">
        <v>42</v>
      </c>
      <c r="B8" s="8" t="s">
        <v>17</v>
      </c>
      <c r="C8" s="8" t="s">
        <v>43</v>
      </c>
      <c r="D8" s="8" t="s">
        <v>19</v>
      </c>
      <c r="E8" s="8" t="s">
        <v>244</v>
      </c>
      <c r="F8" s="8"/>
      <c r="G8" s="8" t="s">
        <v>13</v>
      </c>
      <c r="H8" s="8" t="s">
        <v>14</v>
      </c>
      <c r="I8" s="9">
        <v>2560</v>
      </c>
      <c r="J8" s="9"/>
      <c r="K8" s="36">
        <v>2560</v>
      </c>
      <c r="L8" s="39" t="s">
        <v>21</v>
      </c>
    </row>
    <row r="9" spans="1:12" x14ac:dyDescent="0.3">
      <c r="A9" s="30" t="s">
        <v>246</v>
      </c>
      <c r="B9" s="8" t="s">
        <v>17</v>
      </c>
      <c r="C9" s="8" t="s">
        <v>52</v>
      </c>
      <c r="D9" s="8" t="s">
        <v>19</v>
      </c>
      <c r="E9" s="8" t="s">
        <v>247</v>
      </c>
      <c r="F9" s="8"/>
      <c r="G9" s="8" t="s">
        <v>13</v>
      </c>
      <c r="H9" s="8" t="s">
        <v>73</v>
      </c>
      <c r="I9" s="9">
        <v>10250</v>
      </c>
      <c r="J9" s="9"/>
      <c r="K9" s="36">
        <v>10250</v>
      </c>
      <c r="L9" s="39" t="s">
        <v>21</v>
      </c>
    </row>
    <row r="10" spans="1:12" ht="117" x14ac:dyDescent="0.3">
      <c r="A10" s="30" t="s">
        <v>305</v>
      </c>
      <c r="B10" s="8" t="s">
        <v>17</v>
      </c>
      <c r="C10" s="8" t="s">
        <v>309</v>
      </c>
      <c r="D10" s="8" t="s">
        <v>19</v>
      </c>
      <c r="E10" s="8" t="s">
        <v>243</v>
      </c>
      <c r="F10" s="8"/>
      <c r="G10" s="8" t="s">
        <v>13</v>
      </c>
      <c r="H10" s="8" t="s">
        <v>73</v>
      </c>
      <c r="I10" s="9">
        <v>947033</v>
      </c>
      <c r="J10" s="9">
        <v>52142</v>
      </c>
      <c r="K10" s="36">
        <v>999175</v>
      </c>
      <c r="L10" s="39" t="s">
        <v>354</v>
      </c>
    </row>
    <row r="11" spans="1:12" x14ac:dyDescent="0.3">
      <c r="A11" s="31" t="s">
        <v>44</v>
      </c>
      <c r="B11" s="32" t="s">
        <v>37</v>
      </c>
      <c r="C11" s="32" t="s">
        <v>45</v>
      </c>
      <c r="D11" s="32" t="s">
        <v>19</v>
      </c>
      <c r="E11" s="32" t="s">
        <v>21</v>
      </c>
      <c r="F11" s="32"/>
      <c r="G11" s="32" t="s">
        <v>13</v>
      </c>
      <c r="H11" s="32" t="s">
        <v>73</v>
      </c>
      <c r="I11" s="33">
        <v>10900</v>
      </c>
      <c r="J11" s="33"/>
      <c r="K11" s="33">
        <v>10900</v>
      </c>
      <c r="L11" s="40"/>
    </row>
    <row r="12" spans="1:12" x14ac:dyDescent="0.3">
      <c r="A12" s="31"/>
      <c r="B12" s="32"/>
      <c r="C12" s="32"/>
      <c r="D12" s="32"/>
      <c r="E12" s="32"/>
      <c r="F12" s="32"/>
      <c r="G12" s="32"/>
      <c r="H12" s="32"/>
      <c r="I12" s="9">
        <f>SUBTOTAL(109,Table124[Esialgne eelarve])</f>
        <v>996437.2</v>
      </c>
      <c r="J12" s="9">
        <f>SUBTOTAL(109,Table124[Muudatused])</f>
        <v>209218</v>
      </c>
      <c r="K12" s="9">
        <f>SUBTOTAL(109,Table124[Muudetud eelarve])</f>
        <v>1205655.2</v>
      </c>
      <c r="L12" s="40"/>
    </row>
  </sheetData>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C369A-35CE-4A29-8E21-168874BBA9A3}">
  <sheetPr>
    <tabColor rgb="FF92D050"/>
  </sheetPr>
  <dimension ref="A1:L27"/>
  <sheetViews>
    <sheetView topLeftCell="A13" workbookViewId="0">
      <selection activeCell="A2" sqref="A2"/>
    </sheetView>
  </sheetViews>
  <sheetFormatPr defaultRowHeight="13" x14ac:dyDescent="0.3"/>
  <cols>
    <col min="1" max="1" width="13.81640625" style="3" bestFit="1" customWidth="1"/>
    <col min="2" max="2" width="13.26953125" style="3" bestFit="1" customWidth="1"/>
    <col min="3" max="3" width="12.81640625" style="3" bestFit="1" customWidth="1"/>
    <col min="4" max="4" width="10.90625" style="3" bestFit="1" customWidth="1"/>
    <col min="5" max="5" width="17.54296875" style="3" bestFit="1" customWidth="1"/>
    <col min="6" max="6" width="15.08984375" style="3" bestFit="1" customWidth="1"/>
    <col min="7" max="7" width="12.81640625" style="3" bestFit="1" customWidth="1"/>
    <col min="8" max="8" width="13.1796875" style="3" bestFit="1" customWidth="1"/>
    <col min="9" max="9" width="11.54296875" style="3" bestFit="1" customWidth="1"/>
    <col min="10" max="10" width="13.1796875" style="3" bestFit="1" customWidth="1"/>
    <col min="11" max="11" width="12.453125" style="3" bestFit="1" customWidth="1"/>
    <col min="12" max="12" width="71.26953125" style="13" bestFit="1" customWidth="1"/>
    <col min="13" max="16384" width="8.7265625" style="3"/>
  </cols>
  <sheetData>
    <row r="1" spans="1:12" x14ac:dyDescent="0.3">
      <c r="A1" s="15" t="s">
        <v>331</v>
      </c>
      <c r="L1" s="14" t="s">
        <v>332</v>
      </c>
    </row>
    <row r="2" spans="1:12" s="25" customFormat="1" ht="26" x14ac:dyDescent="0.35">
      <c r="A2" s="25" t="s">
        <v>0</v>
      </c>
      <c r="B2" s="25" t="s">
        <v>1</v>
      </c>
      <c r="C2" s="25" t="s">
        <v>128</v>
      </c>
      <c r="D2" s="25" t="s">
        <v>2</v>
      </c>
      <c r="E2" s="25" t="s">
        <v>3</v>
      </c>
      <c r="F2" s="25" t="s">
        <v>4</v>
      </c>
      <c r="G2" s="25" t="s">
        <v>5</v>
      </c>
      <c r="H2" s="25" t="s">
        <v>6</v>
      </c>
      <c r="I2" s="25" t="s">
        <v>114</v>
      </c>
      <c r="J2" s="25" t="s">
        <v>7</v>
      </c>
      <c r="K2" s="25" t="s">
        <v>163</v>
      </c>
      <c r="L2" s="25" t="s">
        <v>162</v>
      </c>
    </row>
    <row r="3" spans="1:12" x14ac:dyDescent="0.3">
      <c r="A3" s="3" t="s">
        <v>39</v>
      </c>
      <c r="B3" s="3" t="s">
        <v>40</v>
      </c>
      <c r="C3" s="3" t="s">
        <v>41</v>
      </c>
      <c r="D3" s="3" t="s">
        <v>19</v>
      </c>
      <c r="G3" s="3" t="s">
        <v>24</v>
      </c>
      <c r="H3" s="3" t="s">
        <v>249</v>
      </c>
      <c r="I3" s="4">
        <v>440</v>
      </c>
      <c r="K3" s="45">
        <v>440</v>
      </c>
      <c r="L3" s="24" t="s">
        <v>124</v>
      </c>
    </row>
    <row r="4" spans="1:12" x14ac:dyDescent="0.3">
      <c r="A4" s="3" t="s">
        <v>42</v>
      </c>
      <c r="B4" s="3" t="s">
        <v>40</v>
      </c>
      <c r="C4" s="3" t="s">
        <v>43</v>
      </c>
      <c r="D4" s="3" t="s">
        <v>19</v>
      </c>
      <c r="G4" s="3" t="s">
        <v>24</v>
      </c>
      <c r="H4" s="3" t="s">
        <v>249</v>
      </c>
      <c r="I4" s="45">
        <v>808</v>
      </c>
      <c r="J4" s="50"/>
      <c r="K4" s="52">
        <v>808</v>
      </c>
      <c r="L4" s="51" t="s">
        <v>147</v>
      </c>
    </row>
    <row r="5" spans="1:12" x14ac:dyDescent="0.3">
      <c r="A5" s="3" t="s">
        <v>250</v>
      </c>
      <c r="B5" s="3" t="s">
        <v>40</v>
      </c>
      <c r="C5" s="3" t="s">
        <v>251</v>
      </c>
      <c r="D5" s="3" t="s">
        <v>19</v>
      </c>
      <c r="G5" s="3" t="s">
        <v>206</v>
      </c>
      <c r="H5" s="3" t="s">
        <v>249</v>
      </c>
      <c r="I5" s="4">
        <v>2150</v>
      </c>
      <c r="K5" s="45">
        <v>2150</v>
      </c>
    </row>
    <row r="6" spans="1:12" x14ac:dyDescent="0.3">
      <c r="A6" s="3" t="s">
        <v>193</v>
      </c>
      <c r="B6" s="3" t="s">
        <v>17</v>
      </c>
      <c r="C6" s="3" t="s">
        <v>51</v>
      </c>
      <c r="D6" s="3" t="s">
        <v>19</v>
      </c>
      <c r="E6" s="3" t="s">
        <v>265</v>
      </c>
      <c r="G6" s="3" t="s">
        <v>24</v>
      </c>
      <c r="H6" s="3" t="s">
        <v>249</v>
      </c>
      <c r="I6" s="4">
        <v>770862</v>
      </c>
      <c r="J6" s="4">
        <v>-770862</v>
      </c>
      <c r="K6" s="45">
        <v>0</v>
      </c>
      <c r="L6" s="13" t="s">
        <v>357</v>
      </c>
    </row>
    <row r="7" spans="1:12" ht="26" x14ac:dyDescent="0.3">
      <c r="A7" s="3" t="s">
        <v>50</v>
      </c>
      <c r="B7" s="3" t="s">
        <v>17</v>
      </c>
      <c r="C7" s="3" t="s">
        <v>51</v>
      </c>
      <c r="D7" s="3" t="s">
        <v>19</v>
      </c>
      <c r="E7" s="44" t="s">
        <v>253</v>
      </c>
      <c r="F7" s="44"/>
      <c r="G7" s="44" t="s">
        <v>206</v>
      </c>
      <c r="H7" s="44" t="s">
        <v>249</v>
      </c>
      <c r="I7" s="45">
        <v>1880144</v>
      </c>
      <c r="J7" s="45">
        <v>-1476969</v>
      </c>
      <c r="K7" s="45">
        <v>403175</v>
      </c>
      <c r="L7" s="13" t="s">
        <v>358</v>
      </c>
    </row>
    <row r="8" spans="1:12" x14ac:dyDescent="0.3">
      <c r="A8" s="3" t="s">
        <v>50</v>
      </c>
      <c r="B8" s="3" t="s">
        <v>17</v>
      </c>
      <c r="C8" s="3" t="s">
        <v>51</v>
      </c>
      <c r="D8" s="3" t="s">
        <v>19</v>
      </c>
      <c r="E8" s="44" t="s">
        <v>254</v>
      </c>
      <c r="F8" s="44"/>
      <c r="G8" s="44" t="s">
        <v>206</v>
      </c>
      <c r="H8" s="44" t="s">
        <v>249</v>
      </c>
      <c r="I8" s="45">
        <v>0.1</v>
      </c>
      <c r="J8" s="45">
        <v>716328.99</v>
      </c>
      <c r="K8" s="45">
        <v>716329.09</v>
      </c>
      <c r="L8" s="13" t="s">
        <v>359</v>
      </c>
    </row>
    <row r="9" spans="1:12" x14ac:dyDescent="0.3">
      <c r="A9" s="3" t="s">
        <v>64</v>
      </c>
      <c r="B9" s="3" t="s">
        <v>17</v>
      </c>
      <c r="C9" s="3" t="s">
        <v>65</v>
      </c>
      <c r="D9" s="3" t="s">
        <v>19</v>
      </c>
      <c r="E9" s="44" t="s">
        <v>262</v>
      </c>
      <c r="F9" s="44"/>
      <c r="G9" s="44" t="s">
        <v>206</v>
      </c>
      <c r="H9" s="44" t="s">
        <v>249</v>
      </c>
      <c r="I9" s="45">
        <v>0.1</v>
      </c>
      <c r="J9" s="45">
        <v>372332.99</v>
      </c>
      <c r="K9" s="45">
        <v>372333.09</v>
      </c>
      <c r="L9" s="13" t="s">
        <v>359</v>
      </c>
    </row>
    <row r="10" spans="1:12" x14ac:dyDescent="0.3">
      <c r="A10" s="3" t="s">
        <v>50</v>
      </c>
      <c r="B10" s="3" t="s">
        <v>17</v>
      </c>
      <c r="C10" s="3" t="s">
        <v>51</v>
      </c>
      <c r="D10" s="3" t="s">
        <v>19</v>
      </c>
      <c r="E10" s="44" t="s">
        <v>255</v>
      </c>
      <c r="F10" s="44"/>
      <c r="G10" s="44" t="s">
        <v>206</v>
      </c>
      <c r="H10" s="44" t="s">
        <v>249</v>
      </c>
      <c r="I10" s="45">
        <v>0.1</v>
      </c>
      <c r="J10" s="45">
        <v>629974.99</v>
      </c>
      <c r="K10" s="45">
        <v>629975.09</v>
      </c>
      <c r="L10" s="13" t="s">
        <v>359</v>
      </c>
    </row>
    <row r="11" spans="1:12" x14ac:dyDescent="0.3">
      <c r="A11" s="3" t="s">
        <v>50</v>
      </c>
      <c r="B11" s="3" t="s">
        <v>17</v>
      </c>
      <c r="C11" s="3" t="s">
        <v>51</v>
      </c>
      <c r="D11" s="3" t="s">
        <v>19</v>
      </c>
      <c r="E11" s="44" t="s">
        <v>256</v>
      </c>
      <c r="F11" s="44"/>
      <c r="G11" s="44" t="s">
        <v>206</v>
      </c>
      <c r="H11" s="44" t="s">
        <v>249</v>
      </c>
      <c r="I11" s="45">
        <v>0.1</v>
      </c>
      <c r="J11" s="45">
        <v>119999.99</v>
      </c>
      <c r="K11" s="45">
        <v>120000.09</v>
      </c>
      <c r="L11" s="13" t="s">
        <v>359</v>
      </c>
    </row>
    <row r="12" spans="1:12" x14ac:dyDescent="0.3">
      <c r="A12" s="3" t="s">
        <v>50</v>
      </c>
      <c r="B12" s="3" t="s">
        <v>17</v>
      </c>
      <c r="C12" s="3" t="s">
        <v>51</v>
      </c>
      <c r="D12" s="3" t="s">
        <v>19</v>
      </c>
      <c r="E12" s="44" t="s">
        <v>257</v>
      </c>
      <c r="F12" s="44"/>
      <c r="G12" s="44" t="s">
        <v>206</v>
      </c>
      <c r="H12" s="44" t="s">
        <v>249</v>
      </c>
      <c r="I12" s="45">
        <v>0.1</v>
      </c>
      <c r="J12" s="45">
        <v>752174.99</v>
      </c>
      <c r="K12" s="45">
        <v>752175.09</v>
      </c>
      <c r="L12" s="13" t="s">
        <v>359</v>
      </c>
    </row>
    <row r="13" spans="1:12" ht="78" x14ac:dyDescent="0.3">
      <c r="A13" s="3" t="s">
        <v>77</v>
      </c>
      <c r="B13" s="3" t="s">
        <v>17</v>
      </c>
      <c r="C13" s="3" t="s">
        <v>65</v>
      </c>
      <c r="D13" s="3" t="s">
        <v>19</v>
      </c>
      <c r="E13" s="44" t="s">
        <v>258</v>
      </c>
      <c r="F13" s="44"/>
      <c r="G13" s="44" t="s">
        <v>24</v>
      </c>
      <c r="H13" s="44" t="s">
        <v>249</v>
      </c>
      <c r="I13" s="45">
        <v>395000</v>
      </c>
      <c r="J13" s="45">
        <v>76548</v>
      </c>
      <c r="K13" s="45">
        <v>471548</v>
      </c>
      <c r="L13" s="49" t="s">
        <v>355</v>
      </c>
    </row>
    <row r="14" spans="1:12" x14ac:dyDescent="0.3">
      <c r="A14" s="3" t="s">
        <v>64</v>
      </c>
      <c r="B14" s="3" t="s">
        <v>17</v>
      </c>
      <c r="C14" s="3" t="s">
        <v>65</v>
      </c>
      <c r="D14" s="3" t="s">
        <v>19</v>
      </c>
      <c r="E14" s="3" t="s">
        <v>263</v>
      </c>
      <c r="G14" s="3" t="s">
        <v>24</v>
      </c>
      <c r="H14" s="3" t="s">
        <v>249</v>
      </c>
      <c r="I14" s="4">
        <v>0.1</v>
      </c>
      <c r="J14" s="4">
        <v>70000</v>
      </c>
      <c r="K14" s="45">
        <v>70000.100000000006</v>
      </c>
      <c r="L14" s="13" t="s">
        <v>264</v>
      </c>
    </row>
    <row r="15" spans="1:12" x14ac:dyDescent="0.3">
      <c r="A15" s="3" t="s">
        <v>42</v>
      </c>
      <c r="B15" s="3" t="s">
        <v>17</v>
      </c>
      <c r="C15" s="3" t="s">
        <v>43</v>
      </c>
      <c r="D15" s="3" t="s">
        <v>19</v>
      </c>
      <c r="E15" s="3" t="s">
        <v>252</v>
      </c>
      <c r="G15" s="3" t="s">
        <v>24</v>
      </c>
      <c r="H15" s="3" t="s">
        <v>249</v>
      </c>
      <c r="I15" s="4">
        <v>26333</v>
      </c>
      <c r="K15" s="45">
        <v>26333</v>
      </c>
      <c r="L15" s="13" t="s">
        <v>356</v>
      </c>
    </row>
    <row r="16" spans="1:12" x14ac:dyDescent="0.3">
      <c r="A16" s="3" t="s">
        <v>77</v>
      </c>
      <c r="B16" s="3" t="s">
        <v>17</v>
      </c>
      <c r="C16" s="3" t="s">
        <v>65</v>
      </c>
      <c r="D16" s="3" t="s">
        <v>19</v>
      </c>
      <c r="E16" s="3" t="s">
        <v>259</v>
      </c>
      <c r="G16" s="3" t="s">
        <v>206</v>
      </c>
      <c r="H16" s="3" t="s">
        <v>249</v>
      </c>
      <c r="I16" s="4">
        <v>9004</v>
      </c>
      <c r="J16" s="4"/>
      <c r="K16" s="45">
        <v>9004</v>
      </c>
      <c r="L16" s="54" t="s">
        <v>361</v>
      </c>
    </row>
    <row r="17" spans="1:12" x14ac:dyDescent="0.3">
      <c r="A17" s="3" t="s">
        <v>77</v>
      </c>
      <c r="B17" s="3" t="s">
        <v>17</v>
      </c>
      <c r="C17" s="3" t="s">
        <v>65</v>
      </c>
      <c r="D17" s="3" t="s">
        <v>19</v>
      </c>
      <c r="E17" s="3" t="s">
        <v>260</v>
      </c>
      <c r="G17" s="3" t="s">
        <v>206</v>
      </c>
      <c r="H17" s="3" t="s">
        <v>249</v>
      </c>
      <c r="I17" s="4">
        <v>503500</v>
      </c>
      <c r="J17" s="4"/>
      <c r="K17" s="45">
        <v>503500</v>
      </c>
      <c r="L17" s="3" t="s">
        <v>362</v>
      </c>
    </row>
    <row r="18" spans="1:12" ht="39" x14ac:dyDescent="0.3">
      <c r="A18" s="3" t="s">
        <v>77</v>
      </c>
      <c r="B18" s="3" t="s">
        <v>17</v>
      </c>
      <c r="C18" s="3" t="s">
        <v>65</v>
      </c>
      <c r="D18" s="3" t="s">
        <v>19</v>
      </c>
      <c r="E18" s="3" t="s">
        <v>261</v>
      </c>
      <c r="G18" s="3" t="s">
        <v>206</v>
      </c>
      <c r="H18" s="3" t="s">
        <v>249</v>
      </c>
      <c r="I18" s="4">
        <v>87970</v>
      </c>
      <c r="J18" s="4">
        <v>7918</v>
      </c>
      <c r="K18" s="45">
        <v>95888</v>
      </c>
      <c r="L18" s="13" t="s">
        <v>360</v>
      </c>
    </row>
    <row r="19" spans="1:12" x14ac:dyDescent="0.3">
      <c r="A19" s="3" t="s">
        <v>48</v>
      </c>
      <c r="B19" s="3" t="s">
        <v>17</v>
      </c>
      <c r="C19" s="3" t="s">
        <v>10</v>
      </c>
      <c r="D19" s="3" t="s">
        <v>19</v>
      </c>
      <c r="E19" s="3" t="s">
        <v>266</v>
      </c>
      <c r="G19" s="3" t="s">
        <v>13</v>
      </c>
      <c r="H19" s="3" t="s">
        <v>249</v>
      </c>
      <c r="I19" s="4">
        <v>0.1</v>
      </c>
      <c r="J19" s="4">
        <v>8000</v>
      </c>
      <c r="K19" s="45">
        <v>8000.1</v>
      </c>
      <c r="L19" s="53" t="s">
        <v>125</v>
      </c>
    </row>
    <row r="20" spans="1:12" x14ac:dyDescent="0.3">
      <c r="A20" s="3" t="s">
        <v>34</v>
      </c>
      <c r="B20" s="3" t="s">
        <v>9</v>
      </c>
      <c r="C20" s="3" t="s">
        <v>35</v>
      </c>
      <c r="D20" s="3" t="s">
        <v>11</v>
      </c>
      <c r="E20" s="3" t="s">
        <v>21</v>
      </c>
      <c r="F20" s="3" t="s">
        <v>267</v>
      </c>
      <c r="G20" s="3" t="s">
        <v>21</v>
      </c>
      <c r="H20" s="3" t="s">
        <v>249</v>
      </c>
      <c r="I20" s="4">
        <v>772</v>
      </c>
      <c r="J20" s="4"/>
      <c r="K20" s="45">
        <v>772</v>
      </c>
      <c r="L20" s="13" t="s">
        <v>268</v>
      </c>
    </row>
    <row r="21" spans="1:12" x14ac:dyDescent="0.3">
      <c r="A21" s="3" t="s">
        <v>50</v>
      </c>
      <c r="B21" s="3" t="s">
        <v>9</v>
      </c>
      <c r="C21" s="3" t="s">
        <v>51</v>
      </c>
      <c r="D21" s="3" t="s">
        <v>11</v>
      </c>
      <c r="E21" s="3" t="s">
        <v>21</v>
      </c>
      <c r="F21" s="3" t="s">
        <v>267</v>
      </c>
      <c r="G21" s="3" t="s">
        <v>24</v>
      </c>
      <c r="H21" s="3" t="s">
        <v>249</v>
      </c>
      <c r="I21" s="4">
        <v>292208</v>
      </c>
      <c r="J21" s="4"/>
      <c r="K21" s="45">
        <v>292208</v>
      </c>
      <c r="L21" s="13" t="s">
        <v>268</v>
      </c>
    </row>
    <row r="22" spans="1:12" x14ac:dyDescent="0.3">
      <c r="A22" s="3" t="s">
        <v>8</v>
      </c>
      <c r="B22" s="3" t="s">
        <v>9</v>
      </c>
      <c r="C22" s="3" t="s">
        <v>10</v>
      </c>
      <c r="D22" s="3" t="s">
        <v>11</v>
      </c>
      <c r="E22" s="3" t="s">
        <v>21</v>
      </c>
      <c r="F22" s="3" t="s">
        <v>267</v>
      </c>
      <c r="G22" s="3" t="s">
        <v>21</v>
      </c>
      <c r="H22" s="3" t="s">
        <v>249</v>
      </c>
      <c r="I22" s="4">
        <v>11026</v>
      </c>
      <c r="J22" s="4"/>
      <c r="K22" s="45">
        <v>11026</v>
      </c>
      <c r="L22" s="13" t="s">
        <v>268</v>
      </c>
    </row>
    <row r="23" spans="1:12" x14ac:dyDescent="0.3">
      <c r="A23" s="3" t="s">
        <v>50</v>
      </c>
      <c r="B23" s="3" t="s">
        <v>9</v>
      </c>
      <c r="C23" s="3" t="s">
        <v>51</v>
      </c>
      <c r="D23" s="3" t="s">
        <v>55</v>
      </c>
      <c r="E23" s="3" t="s">
        <v>21</v>
      </c>
      <c r="F23" s="3" t="s">
        <v>269</v>
      </c>
      <c r="G23" s="3" t="s">
        <v>206</v>
      </c>
      <c r="H23" s="3" t="s">
        <v>249</v>
      </c>
      <c r="I23" s="4">
        <v>143576</v>
      </c>
      <c r="J23" s="4"/>
      <c r="K23" s="45">
        <v>143576</v>
      </c>
      <c r="L23" s="13" t="s">
        <v>270</v>
      </c>
    </row>
    <row r="24" spans="1:12" x14ac:dyDescent="0.3">
      <c r="A24" s="3" t="s">
        <v>50</v>
      </c>
      <c r="B24" s="3" t="s">
        <v>9</v>
      </c>
      <c r="C24" s="3" t="s">
        <v>51</v>
      </c>
      <c r="D24" s="3" t="s">
        <v>52</v>
      </c>
      <c r="E24" s="3" t="s">
        <v>21</v>
      </c>
      <c r="F24" s="3" t="s">
        <v>269</v>
      </c>
      <c r="G24" s="3" t="s">
        <v>206</v>
      </c>
      <c r="H24" s="3" t="s">
        <v>249</v>
      </c>
      <c r="I24" s="4">
        <v>335010</v>
      </c>
      <c r="J24" s="4"/>
      <c r="K24" s="45">
        <v>335010</v>
      </c>
      <c r="L24" s="13" t="s">
        <v>270</v>
      </c>
    </row>
    <row r="25" spans="1:12" x14ac:dyDescent="0.3">
      <c r="A25" s="3" t="s">
        <v>50</v>
      </c>
      <c r="B25" s="3" t="s">
        <v>9</v>
      </c>
      <c r="C25" s="3" t="s">
        <v>51</v>
      </c>
      <c r="D25" s="3" t="s">
        <v>55</v>
      </c>
      <c r="E25" s="3" t="s">
        <v>21</v>
      </c>
      <c r="F25" s="3" t="s">
        <v>271</v>
      </c>
      <c r="G25" s="3" t="s">
        <v>206</v>
      </c>
      <c r="H25" s="3" t="s">
        <v>249</v>
      </c>
      <c r="I25" s="4">
        <v>115335</v>
      </c>
      <c r="J25" s="4"/>
      <c r="K25" s="45">
        <v>115335</v>
      </c>
      <c r="L25" s="13" t="s">
        <v>272</v>
      </c>
    </row>
    <row r="26" spans="1:12" x14ac:dyDescent="0.3">
      <c r="A26" s="3" t="s">
        <v>50</v>
      </c>
      <c r="B26" s="3" t="s">
        <v>9</v>
      </c>
      <c r="C26" s="3" t="s">
        <v>51</v>
      </c>
      <c r="D26" s="3" t="s">
        <v>52</v>
      </c>
      <c r="E26" s="3" t="s">
        <v>21</v>
      </c>
      <c r="F26" s="3" t="s">
        <v>271</v>
      </c>
      <c r="G26" s="3" t="s">
        <v>206</v>
      </c>
      <c r="H26" s="3" t="s">
        <v>249</v>
      </c>
      <c r="I26" s="4">
        <v>269116</v>
      </c>
      <c r="J26" s="4"/>
      <c r="K26" s="45">
        <v>269116</v>
      </c>
      <c r="L26" s="13" t="s">
        <v>272</v>
      </c>
    </row>
    <row r="27" spans="1:12" x14ac:dyDescent="0.3">
      <c r="I27" s="4">
        <f>SUBTOTAL(109,Table125[Esialgne eelarve])</f>
        <v>4843254.7000000011</v>
      </c>
      <c r="J27" s="4">
        <f>SUBTOTAL(109,Table125[Muudatused])</f>
        <v>505446.94999999995</v>
      </c>
      <c r="K27" s="4">
        <f>SUBTOTAL(109,Table125[Muudetud eelarve])</f>
        <v>5348701.6500000004</v>
      </c>
    </row>
  </sheetData>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21CA3-9209-432A-9E46-65C3FF6A0BBA}">
  <sheetPr>
    <tabColor rgb="FF92D050"/>
  </sheetPr>
  <dimension ref="A1:L8"/>
  <sheetViews>
    <sheetView workbookViewId="0">
      <selection activeCell="A2" sqref="A2"/>
    </sheetView>
  </sheetViews>
  <sheetFormatPr defaultRowHeight="13" x14ac:dyDescent="0.3"/>
  <cols>
    <col min="1" max="1" width="18.26953125" style="3" bestFit="1" customWidth="1"/>
    <col min="2" max="2" width="13.26953125" style="3" bestFit="1" customWidth="1"/>
    <col min="3" max="3" width="12.81640625" style="3" bestFit="1" customWidth="1"/>
    <col min="4" max="5" width="10.90625" style="3" bestFit="1" customWidth="1"/>
    <col min="6" max="6" width="9.7265625" style="3" bestFit="1" customWidth="1"/>
    <col min="7" max="7" width="12.81640625" style="3" bestFit="1" customWidth="1"/>
    <col min="8" max="8" width="13.1796875" style="3" bestFit="1" customWidth="1"/>
    <col min="9" max="9" width="11.54296875" style="3" bestFit="1" customWidth="1"/>
    <col min="10" max="10" width="13.1796875" style="3" bestFit="1" customWidth="1"/>
    <col min="11" max="11" width="12.453125" style="3" bestFit="1" customWidth="1"/>
    <col min="12" max="12" width="47.6328125" style="13" customWidth="1"/>
    <col min="13" max="16384" width="8.7265625" style="3"/>
  </cols>
  <sheetData>
    <row r="1" spans="1:12" x14ac:dyDescent="0.3">
      <c r="A1" s="15" t="s">
        <v>333</v>
      </c>
      <c r="L1" s="14" t="s">
        <v>334</v>
      </c>
    </row>
    <row r="2" spans="1:12" s="25" customFormat="1" ht="26" x14ac:dyDescent="0.35">
      <c r="A2" s="27" t="s">
        <v>0</v>
      </c>
      <c r="B2" s="28" t="s">
        <v>1</v>
      </c>
      <c r="C2" s="28" t="s">
        <v>128</v>
      </c>
      <c r="D2" s="28" t="s">
        <v>2</v>
      </c>
      <c r="E2" s="28" t="s">
        <v>3</v>
      </c>
      <c r="F2" s="28" t="s">
        <v>4</v>
      </c>
      <c r="G2" s="28" t="s">
        <v>5</v>
      </c>
      <c r="H2" s="28" t="s">
        <v>6</v>
      </c>
      <c r="I2" s="28" t="s">
        <v>114</v>
      </c>
      <c r="J2" s="28" t="s">
        <v>7</v>
      </c>
      <c r="K2" s="28" t="s">
        <v>163</v>
      </c>
      <c r="L2" s="29" t="s">
        <v>162</v>
      </c>
    </row>
    <row r="3" spans="1:12" x14ac:dyDescent="0.3">
      <c r="A3" s="30" t="s">
        <v>39</v>
      </c>
      <c r="B3" s="8" t="s">
        <v>40</v>
      </c>
      <c r="C3" s="8" t="s">
        <v>41</v>
      </c>
      <c r="D3" s="8" t="s">
        <v>19</v>
      </c>
      <c r="E3" s="8"/>
      <c r="F3" s="8"/>
      <c r="G3" s="8" t="s">
        <v>13</v>
      </c>
      <c r="H3" s="8" t="s">
        <v>289</v>
      </c>
      <c r="I3" s="9">
        <v>1262</v>
      </c>
      <c r="J3" s="8"/>
      <c r="K3" s="9">
        <v>1262</v>
      </c>
      <c r="L3" s="1" t="s">
        <v>350</v>
      </c>
    </row>
    <row r="4" spans="1:12" x14ac:dyDescent="0.3">
      <c r="A4" s="30" t="s">
        <v>80</v>
      </c>
      <c r="B4" s="8" t="s">
        <v>40</v>
      </c>
      <c r="C4" s="8" t="s">
        <v>81</v>
      </c>
      <c r="D4" s="8" t="s">
        <v>19</v>
      </c>
      <c r="E4" s="8"/>
      <c r="F4" s="8"/>
      <c r="G4" s="8" t="s">
        <v>13</v>
      </c>
      <c r="H4" s="8" t="s">
        <v>289</v>
      </c>
      <c r="I4" s="9">
        <v>812</v>
      </c>
      <c r="J4" s="8"/>
      <c r="K4" s="9">
        <v>812</v>
      </c>
      <c r="L4" s="1" t="s">
        <v>351</v>
      </c>
    </row>
    <row r="5" spans="1:12" x14ac:dyDescent="0.3">
      <c r="A5" s="30" t="s">
        <v>69</v>
      </c>
      <c r="B5" s="8" t="s">
        <v>40</v>
      </c>
      <c r="C5" s="8" t="s">
        <v>70</v>
      </c>
      <c r="D5" s="8" t="s">
        <v>19</v>
      </c>
      <c r="E5" s="8"/>
      <c r="F5" s="8"/>
      <c r="G5" s="8" t="s">
        <v>13</v>
      </c>
      <c r="H5" s="8" t="s">
        <v>289</v>
      </c>
      <c r="I5" s="9">
        <v>0</v>
      </c>
      <c r="J5" s="8"/>
      <c r="K5" s="9">
        <v>0</v>
      </c>
      <c r="L5" s="39"/>
    </row>
    <row r="6" spans="1:12" x14ac:dyDescent="0.3">
      <c r="A6" s="30" t="s">
        <v>71</v>
      </c>
      <c r="B6" s="8" t="s">
        <v>40</v>
      </c>
      <c r="C6" s="8" t="s">
        <v>72</v>
      </c>
      <c r="D6" s="8" t="s">
        <v>19</v>
      </c>
      <c r="E6" s="8"/>
      <c r="F6" s="8"/>
      <c r="G6" s="8" t="s">
        <v>13</v>
      </c>
      <c r="H6" s="8" t="s">
        <v>289</v>
      </c>
      <c r="I6" s="9">
        <v>0</v>
      </c>
      <c r="J6" s="8"/>
      <c r="K6" s="9">
        <v>0</v>
      </c>
      <c r="L6" s="39"/>
    </row>
    <row r="7" spans="1:12" ht="52" x14ac:dyDescent="0.3">
      <c r="A7" s="31" t="s">
        <v>48</v>
      </c>
      <c r="B7" s="32" t="s">
        <v>17</v>
      </c>
      <c r="C7" s="32" t="s">
        <v>10</v>
      </c>
      <c r="D7" s="32" t="s">
        <v>19</v>
      </c>
      <c r="E7" s="32" t="s">
        <v>290</v>
      </c>
      <c r="F7" s="32"/>
      <c r="G7" s="32" t="s">
        <v>13</v>
      </c>
      <c r="H7" s="32" t="s">
        <v>289</v>
      </c>
      <c r="I7" s="33">
        <v>0.1</v>
      </c>
      <c r="J7" s="33">
        <v>16600</v>
      </c>
      <c r="K7" s="33">
        <v>16600.099999999999</v>
      </c>
      <c r="L7" s="55" t="s">
        <v>363</v>
      </c>
    </row>
    <row r="8" spans="1:12" x14ac:dyDescent="0.3">
      <c r="A8" s="31"/>
      <c r="B8" s="32"/>
      <c r="C8" s="32"/>
      <c r="D8" s="32"/>
      <c r="E8" s="32"/>
      <c r="F8" s="32"/>
      <c r="G8" s="32"/>
      <c r="H8" s="32"/>
      <c r="I8" s="9">
        <f>SUBTOTAL(109,Table128[Esialgne eelarve])</f>
        <v>2074.1</v>
      </c>
      <c r="J8" s="9">
        <f>SUBTOTAL(109,Table128[Muudatused])</f>
        <v>16600</v>
      </c>
      <c r="K8" s="9">
        <f>SUBTOTAL(109,Table128[Muudetud eelarve])</f>
        <v>18674.099999999999</v>
      </c>
      <c r="L8" s="40"/>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F640C-230C-49EF-B1B6-78C8CD7218D4}">
  <sheetPr>
    <tabColor rgb="FF92D050"/>
  </sheetPr>
  <dimension ref="A1:L19"/>
  <sheetViews>
    <sheetView topLeftCell="C5" workbookViewId="0">
      <selection activeCell="K2" sqref="K2"/>
    </sheetView>
  </sheetViews>
  <sheetFormatPr defaultRowHeight="13" x14ac:dyDescent="0.3"/>
  <cols>
    <col min="1" max="1" width="19.36328125" style="3" bestFit="1" customWidth="1"/>
    <col min="2" max="2" width="12.1796875" style="3" bestFit="1" customWidth="1"/>
    <col min="3" max="3" width="14.6328125" style="3" bestFit="1" customWidth="1"/>
    <col min="4" max="4" width="20.08984375" style="3" bestFit="1" customWidth="1"/>
    <col min="5" max="5" width="18.36328125" style="3" bestFit="1" customWidth="1"/>
    <col min="6" max="6" width="20" style="3" bestFit="1" customWidth="1"/>
    <col min="7" max="7" width="12.26953125" style="3" bestFit="1" customWidth="1"/>
    <col min="8" max="8" width="11.6328125" style="3" bestFit="1" customWidth="1"/>
    <col min="9" max="9" width="9.1796875" style="3" bestFit="1" customWidth="1"/>
    <col min="10" max="10" width="13.81640625" style="3" bestFit="1" customWidth="1"/>
    <col min="11" max="11" width="15" style="3" customWidth="1"/>
    <col min="12" max="12" width="40.90625" style="13" customWidth="1"/>
    <col min="13" max="16384" width="8.7265625" style="3"/>
  </cols>
  <sheetData>
    <row r="1" spans="1:12" x14ac:dyDescent="0.3">
      <c r="A1" s="15" t="s">
        <v>119</v>
      </c>
      <c r="L1" s="14" t="s">
        <v>120</v>
      </c>
    </row>
    <row r="2" spans="1:12" ht="26" x14ac:dyDescent="0.3">
      <c r="A2" s="12" t="s">
        <v>0</v>
      </c>
      <c r="B2" s="12" t="s">
        <v>1</v>
      </c>
      <c r="C2" s="12" t="s">
        <v>128</v>
      </c>
      <c r="D2" s="12" t="s">
        <v>2</v>
      </c>
      <c r="E2" s="12" t="s">
        <v>3</v>
      </c>
      <c r="F2" s="12" t="s">
        <v>4</v>
      </c>
      <c r="G2" s="12" t="s">
        <v>5</v>
      </c>
      <c r="H2" s="12" t="s">
        <v>6</v>
      </c>
      <c r="I2" s="12" t="s">
        <v>114</v>
      </c>
      <c r="J2" s="12" t="s">
        <v>7</v>
      </c>
      <c r="K2" s="12" t="s">
        <v>163</v>
      </c>
      <c r="L2" s="12" t="s">
        <v>162</v>
      </c>
    </row>
    <row r="3" spans="1:12" x14ac:dyDescent="0.3">
      <c r="A3" s="8" t="s">
        <v>39</v>
      </c>
      <c r="B3" s="8" t="s">
        <v>40</v>
      </c>
      <c r="C3" s="8" t="s">
        <v>41</v>
      </c>
      <c r="D3" s="8" t="s">
        <v>19</v>
      </c>
      <c r="E3" s="8"/>
      <c r="F3" s="8" t="s">
        <v>21</v>
      </c>
      <c r="G3" s="8" t="s">
        <v>13</v>
      </c>
      <c r="H3" s="8" t="s">
        <v>54</v>
      </c>
      <c r="I3" s="9">
        <v>968</v>
      </c>
      <c r="J3" s="9"/>
      <c r="K3" s="9">
        <v>968</v>
      </c>
      <c r="L3" s="11" t="s">
        <v>124</v>
      </c>
    </row>
    <row r="4" spans="1:12" x14ac:dyDescent="0.3">
      <c r="A4" s="8" t="s">
        <v>42</v>
      </c>
      <c r="B4" s="8" t="s">
        <v>40</v>
      </c>
      <c r="C4" s="8" t="s">
        <v>43</v>
      </c>
      <c r="D4" s="8" t="s">
        <v>19</v>
      </c>
      <c r="E4" s="8"/>
      <c r="F4" s="8" t="s">
        <v>21</v>
      </c>
      <c r="G4" s="8" t="s">
        <v>13</v>
      </c>
      <c r="H4" s="8" t="s">
        <v>54</v>
      </c>
      <c r="I4" s="9">
        <v>943</v>
      </c>
      <c r="J4" s="9"/>
      <c r="K4" s="9">
        <v>943</v>
      </c>
      <c r="L4" s="11" t="s">
        <v>124</v>
      </c>
    </row>
    <row r="5" spans="1:12" ht="39" x14ac:dyDescent="0.3">
      <c r="A5" s="8" t="s">
        <v>64</v>
      </c>
      <c r="B5" s="8" t="s">
        <v>17</v>
      </c>
      <c r="C5" s="8" t="s">
        <v>65</v>
      </c>
      <c r="D5" s="8" t="s">
        <v>66</v>
      </c>
      <c r="E5" s="8" t="s">
        <v>67</v>
      </c>
      <c r="F5" s="8" t="s">
        <v>21</v>
      </c>
      <c r="G5" s="8" t="s">
        <v>13</v>
      </c>
      <c r="H5" s="8" t="s">
        <v>54</v>
      </c>
      <c r="I5" s="9">
        <v>0.1</v>
      </c>
      <c r="J5" s="9">
        <v>750000</v>
      </c>
      <c r="K5" s="9">
        <v>750000.1</v>
      </c>
      <c r="L5" s="11" t="s">
        <v>123</v>
      </c>
    </row>
    <row r="6" spans="1:12" x14ac:dyDescent="0.3">
      <c r="A6" s="8" t="s">
        <v>48</v>
      </c>
      <c r="B6" s="8" t="s">
        <v>17</v>
      </c>
      <c r="C6" s="8" t="s">
        <v>10</v>
      </c>
      <c r="D6" s="8" t="s">
        <v>19</v>
      </c>
      <c r="E6" s="8" t="s">
        <v>68</v>
      </c>
      <c r="F6" s="8" t="s">
        <v>21</v>
      </c>
      <c r="G6" s="8" t="s">
        <v>13</v>
      </c>
      <c r="H6" s="8" t="s">
        <v>54</v>
      </c>
      <c r="I6" s="9">
        <v>0.1</v>
      </c>
      <c r="J6" s="9">
        <v>14650</v>
      </c>
      <c r="K6" s="9">
        <v>14650.1</v>
      </c>
      <c r="L6" s="11" t="s">
        <v>125</v>
      </c>
    </row>
    <row r="7" spans="1:12" x14ac:dyDescent="0.3">
      <c r="A7" s="8" t="s">
        <v>30</v>
      </c>
      <c r="B7" s="8" t="s">
        <v>9</v>
      </c>
      <c r="C7" s="8" t="s">
        <v>31</v>
      </c>
      <c r="D7" s="8" t="s">
        <v>56</v>
      </c>
      <c r="E7" s="8"/>
      <c r="F7" s="8" t="s">
        <v>57</v>
      </c>
      <c r="G7" s="8" t="s">
        <v>13</v>
      </c>
      <c r="H7" s="8" t="s">
        <v>54</v>
      </c>
      <c r="I7" s="9">
        <f>428250</f>
        <v>428250</v>
      </c>
      <c r="J7" s="9"/>
      <c r="K7" s="9">
        <v>428250</v>
      </c>
      <c r="L7" s="11" t="s">
        <v>121</v>
      </c>
    </row>
    <row r="8" spans="1:12" x14ac:dyDescent="0.3">
      <c r="A8" s="8" t="s">
        <v>58</v>
      </c>
      <c r="B8" s="8" t="s">
        <v>9</v>
      </c>
      <c r="C8" s="8" t="s">
        <v>59</v>
      </c>
      <c r="D8" s="8" t="s">
        <v>11</v>
      </c>
      <c r="E8" s="8"/>
      <c r="F8" s="8" t="s">
        <v>57</v>
      </c>
      <c r="G8" s="8" t="s">
        <v>13</v>
      </c>
      <c r="H8" s="8" t="s">
        <v>54</v>
      </c>
      <c r="I8" s="9">
        <v>44010</v>
      </c>
      <c r="J8" s="9"/>
      <c r="K8" s="9">
        <v>44010</v>
      </c>
      <c r="L8" s="11" t="s">
        <v>121</v>
      </c>
    </row>
    <row r="9" spans="1:12" x14ac:dyDescent="0.3">
      <c r="A9" s="8" t="s">
        <v>50</v>
      </c>
      <c r="B9" s="8" t="s">
        <v>9</v>
      </c>
      <c r="C9" s="8" t="s">
        <v>51</v>
      </c>
      <c r="D9" s="8" t="s">
        <v>11</v>
      </c>
      <c r="E9" s="8"/>
      <c r="F9" s="8" t="s">
        <v>57</v>
      </c>
      <c r="G9" s="8" t="s">
        <v>13</v>
      </c>
      <c r="H9" s="8" t="s">
        <v>54</v>
      </c>
      <c r="I9" s="9">
        <v>11607</v>
      </c>
      <c r="J9" s="9"/>
      <c r="K9" s="9">
        <v>11607</v>
      </c>
      <c r="L9" s="11" t="s">
        <v>121</v>
      </c>
    </row>
    <row r="10" spans="1:12" x14ac:dyDescent="0.3">
      <c r="A10" s="8" t="s">
        <v>8</v>
      </c>
      <c r="B10" s="8" t="s">
        <v>9</v>
      </c>
      <c r="C10" s="8" t="s">
        <v>10</v>
      </c>
      <c r="D10" s="8" t="s">
        <v>11</v>
      </c>
      <c r="E10" s="8"/>
      <c r="F10" s="8" t="s">
        <v>57</v>
      </c>
      <c r="G10" s="8" t="s">
        <v>13</v>
      </c>
      <c r="H10" s="8" t="s">
        <v>54</v>
      </c>
      <c r="I10" s="9">
        <v>4724</v>
      </c>
      <c r="J10" s="9"/>
      <c r="K10" s="9">
        <v>4724</v>
      </c>
      <c r="L10" s="11" t="s">
        <v>121</v>
      </c>
    </row>
    <row r="11" spans="1:12" ht="39" x14ac:dyDescent="0.3">
      <c r="A11" s="8" t="s">
        <v>50</v>
      </c>
      <c r="B11" s="8" t="s">
        <v>9</v>
      </c>
      <c r="C11" s="8" t="s">
        <v>51</v>
      </c>
      <c r="D11" s="8" t="s">
        <v>19</v>
      </c>
      <c r="E11" s="8"/>
      <c r="F11" s="8" t="s">
        <v>57</v>
      </c>
      <c r="G11" s="8" t="s">
        <v>13</v>
      </c>
      <c r="H11" s="8" t="s">
        <v>54</v>
      </c>
      <c r="I11" s="9">
        <v>0.1</v>
      </c>
      <c r="J11" s="9">
        <v>26750</v>
      </c>
      <c r="K11" s="9">
        <v>26750.1</v>
      </c>
      <c r="L11" s="11" t="s">
        <v>122</v>
      </c>
    </row>
    <row r="12" spans="1:12" x14ac:dyDescent="0.3">
      <c r="A12" s="8" t="s">
        <v>8</v>
      </c>
      <c r="B12" s="8" t="s">
        <v>9</v>
      </c>
      <c r="C12" s="8" t="s">
        <v>10</v>
      </c>
      <c r="D12" s="8" t="s">
        <v>11</v>
      </c>
      <c r="E12" s="8"/>
      <c r="F12" s="8" t="s">
        <v>60</v>
      </c>
      <c r="G12" s="8" t="s">
        <v>13</v>
      </c>
      <c r="H12" s="8" t="s">
        <v>54</v>
      </c>
      <c r="I12" s="9">
        <v>20000</v>
      </c>
      <c r="J12" s="9"/>
      <c r="K12" s="9">
        <v>20000</v>
      </c>
      <c r="L12" s="11" t="s">
        <v>126</v>
      </c>
    </row>
    <row r="13" spans="1:12" x14ac:dyDescent="0.3">
      <c r="A13" s="8" t="s">
        <v>61</v>
      </c>
      <c r="B13" s="8" t="s">
        <v>9</v>
      </c>
      <c r="C13" s="8" t="s">
        <v>62</v>
      </c>
      <c r="D13" s="8" t="s">
        <v>11</v>
      </c>
      <c r="E13" s="8"/>
      <c r="F13" s="8" t="s">
        <v>60</v>
      </c>
      <c r="G13" s="8" t="s">
        <v>13</v>
      </c>
      <c r="H13" s="8" t="s">
        <v>54</v>
      </c>
      <c r="I13" s="9">
        <v>6500</v>
      </c>
      <c r="J13" s="9"/>
      <c r="K13" s="9">
        <v>6500</v>
      </c>
      <c r="L13" s="11" t="s">
        <v>126</v>
      </c>
    </row>
    <row r="14" spans="1:12" ht="26" x14ac:dyDescent="0.3">
      <c r="A14" s="8" t="s">
        <v>50</v>
      </c>
      <c r="B14" s="8" t="s">
        <v>9</v>
      </c>
      <c r="C14" s="8" t="s">
        <v>51</v>
      </c>
      <c r="D14" s="8" t="s">
        <v>52</v>
      </c>
      <c r="E14" s="8"/>
      <c r="F14" s="8" t="s">
        <v>53</v>
      </c>
      <c r="G14" s="8" t="s">
        <v>13</v>
      </c>
      <c r="H14" s="8" t="s">
        <v>54</v>
      </c>
      <c r="I14" s="9">
        <v>8384354.7300000004</v>
      </c>
      <c r="J14" s="9">
        <v>10079516</v>
      </c>
      <c r="K14" s="9">
        <v>18463870.73</v>
      </c>
      <c r="L14" s="11" t="s">
        <v>127</v>
      </c>
    </row>
    <row r="15" spans="1:12" ht="26" x14ac:dyDescent="0.3">
      <c r="A15" s="8" t="s">
        <v>50</v>
      </c>
      <c r="B15" s="8" t="s">
        <v>9</v>
      </c>
      <c r="C15" s="8" t="s">
        <v>51</v>
      </c>
      <c r="D15" s="8" t="s">
        <v>55</v>
      </c>
      <c r="E15" s="8"/>
      <c r="F15" s="8" t="s">
        <v>53</v>
      </c>
      <c r="G15" s="8" t="s">
        <v>13</v>
      </c>
      <c r="H15" s="8" t="s">
        <v>54</v>
      </c>
      <c r="I15" s="9">
        <v>1311903.78</v>
      </c>
      <c r="J15" s="9">
        <v>1577146</v>
      </c>
      <c r="K15" s="9">
        <f>Table18[[#This Row],[Esialgne eelarve]]+Table18[[#This Row],[Muudatused]]</f>
        <v>2889049.7800000003</v>
      </c>
      <c r="L15" s="11" t="s">
        <v>127</v>
      </c>
    </row>
    <row r="16" spans="1:12" x14ac:dyDescent="0.3">
      <c r="I16" s="4">
        <f>SUBTOTAL(109,Table18[Esialgne eelarve])</f>
        <v>10213260.810000001</v>
      </c>
      <c r="J16" s="4">
        <f>SUBTOTAL(109,Table18[Muudatused])</f>
        <v>12448062</v>
      </c>
      <c r="K16" s="4">
        <f>SUBTOTAL(109,Table18[Muudetud eelarve])</f>
        <v>22661322.810000002</v>
      </c>
    </row>
    <row r="19" spans="9:10" x14ac:dyDescent="0.3">
      <c r="I19" s="4"/>
      <c r="J19" s="4"/>
    </row>
  </sheetData>
  <pageMargins left="0.7" right="0.7" top="0.75" bottom="0.75" header="0.3" footer="0.3"/>
  <tableParts count="1">
    <tablePart r:id="rId1"/>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C5A33-6226-4282-82C9-8A00A279F736}">
  <sheetPr>
    <tabColor rgb="FF92D050"/>
  </sheetPr>
  <dimension ref="A1:L21"/>
  <sheetViews>
    <sheetView topLeftCell="A8" workbookViewId="0">
      <selection activeCell="A2" sqref="A2"/>
    </sheetView>
  </sheetViews>
  <sheetFormatPr defaultRowHeight="13" x14ac:dyDescent="0.3"/>
  <cols>
    <col min="1" max="1" width="24.08984375" style="3" bestFit="1" customWidth="1"/>
    <col min="2" max="2" width="17.26953125" style="3" bestFit="1" customWidth="1"/>
    <col min="3" max="3" width="15.453125" style="3" bestFit="1" customWidth="1"/>
    <col min="4" max="4" width="20.90625" style="3" bestFit="1" customWidth="1"/>
    <col min="5" max="5" width="18.81640625" style="3" bestFit="1" customWidth="1"/>
    <col min="6" max="6" width="9.7265625" style="3" bestFit="1" customWidth="1"/>
    <col min="7" max="7" width="10.54296875" style="3" customWidth="1"/>
    <col min="8" max="8" width="11.36328125" style="3" customWidth="1"/>
    <col min="9" max="11" width="10.81640625" style="3" customWidth="1"/>
    <col min="12" max="12" width="39.453125" style="13" customWidth="1"/>
    <col min="13" max="16384" width="8.7265625" style="3"/>
  </cols>
  <sheetData>
    <row r="1" spans="1:12" x14ac:dyDescent="0.3">
      <c r="B1" s="15" t="s">
        <v>335</v>
      </c>
      <c r="L1" s="14" t="s">
        <v>336</v>
      </c>
    </row>
    <row r="2" spans="1:12" s="25" customFormat="1" ht="26" x14ac:dyDescent="0.35">
      <c r="A2" s="12" t="s">
        <v>0</v>
      </c>
      <c r="B2" s="12" t="s">
        <v>1</v>
      </c>
      <c r="C2" s="12" t="s">
        <v>128</v>
      </c>
      <c r="D2" s="12" t="s">
        <v>2</v>
      </c>
      <c r="E2" s="12" t="s">
        <v>3</v>
      </c>
      <c r="F2" s="12" t="s">
        <v>4</v>
      </c>
      <c r="G2" s="12" t="s">
        <v>5</v>
      </c>
      <c r="H2" s="12" t="s">
        <v>6</v>
      </c>
      <c r="I2" s="12" t="s">
        <v>114</v>
      </c>
      <c r="J2" s="12" t="s">
        <v>7</v>
      </c>
      <c r="K2" s="12" t="s">
        <v>163</v>
      </c>
      <c r="L2" s="12" t="s">
        <v>162</v>
      </c>
    </row>
    <row r="3" spans="1:12" x14ac:dyDescent="0.3">
      <c r="A3" s="8" t="s">
        <v>39</v>
      </c>
      <c r="B3" s="8" t="s">
        <v>40</v>
      </c>
      <c r="C3" s="8" t="s">
        <v>41</v>
      </c>
      <c r="D3" s="8" t="s">
        <v>19</v>
      </c>
      <c r="E3" s="8"/>
      <c r="F3" s="8"/>
      <c r="G3" s="8" t="s">
        <v>13</v>
      </c>
      <c r="H3" s="8" t="s">
        <v>292</v>
      </c>
      <c r="I3" s="9">
        <v>1584</v>
      </c>
      <c r="J3" s="8"/>
      <c r="K3" s="36">
        <v>1584</v>
      </c>
      <c r="L3" s="24" t="s">
        <v>124</v>
      </c>
    </row>
    <row r="4" spans="1:12" x14ac:dyDescent="0.3">
      <c r="A4" s="8" t="s">
        <v>42</v>
      </c>
      <c r="B4" s="8" t="s">
        <v>40</v>
      </c>
      <c r="C4" s="8" t="s">
        <v>43</v>
      </c>
      <c r="D4" s="8" t="s">
        <v>19</v>
      </c>
      <c r="E4" s="8"/>
      <c r="F4" s="8"/>
      <c r="G4" s="8" t="s">
        <v>13</v>
      </c>
      <c r="H4" s="8" t="s">
        <v>292</v>
      </c>
      <c r="I4" s="9">
        <v>2290</v>
      </c>
      <c r="J4" s="8"/>
      <c r="K4" s="36">
        <v>2290</v>
      </c>
      <c r="L4" s="24" t="s">
        <v>147</v>
      </c>
    </row>
    <row r="5" spans="1:12" ht="39" x14ac:dyDescent="0.3">
      <c r="A5" s="8" t="s">
        <v>215</v>
      </c>
      <c r="B5" s="8" t="s">
        <v>17</v>
      </c>
      <c r="C5" s="8" t="s">
        <v>31</v>
      </c>
      <c r="D5" s="8" t="s">
        <v>211</v>
      </c>
      <c r="E5" s="8" t="s">
        <v>296</v>
      </c>
      <c r="F5" s="8"/>
      <c r="G5" s="8" t="s">
        <v>13</v>
      </c>
      <c r="H5" s="8" t="s">
        <v>291</v>
      </c>
      <c r="I5" s="9">
        <v>0.1</v>
      </c>
      <c r="J5" s="9">
        <v>50000</v>
      </c>
      <c r="K5" s="36">
        <v>50000.1</v>
      </c>
      <c r="L5" s="11" t="s">
        <v>371</v>
      </c>
    </row>
    <row r="6" spans="1:12" x14ac:dyDescent="0.3">
      <c r="A6" s="8" t="s">
        <v>297</v>
      </c>
      <c r="B6" s="8" t="s">
        <v>17</v>
      </c>
      <c r="C6" s="8" t="s">
        <v>298</v>
      </c>
      <c r="D6" s="8" t="s">
        <v>19</v>
      </c>
      <c r="E6" s="8" t="s">
        <v>299</v>
      </c>
      <c r="F6" s="8"/>
      <c r="G6" s="8" t="s">
        <v>13</v>
      </c>
      <c r="H6" s="8" t="s">
        <v>291</v>
      </c>
      <c r="I6" s="9">
        <v>21000</v>
      </c>
      <c r="J6" s="9"/>
      <c r="K6" s="36">
        <v>21000</v>
      </c>
      <c r="L6" s="19" t="s">
        <v>367</v>
      </c>
    </row>
    <row r="7" spans="1:12" x14ac:dyDescent="0.3">
      <c r="A7" s="8" t="s">
        <v>302</v>
      </c>
      <c r="B7" s="8" t="s">
        <v>17</v>
      </c>
      <c r="C7" s="8" t="s">
        <v>303</v>
      </c>
      <c r="D7" s="8" t="s">
        <v>19</v>
      </c>
      <c r="E7" s="8" t="s">
        <v>304</v>
      </c>
      <c r="F7" s="8"/>
      <c r="G7" s="8" t="s">
        <v>13</v>
      </c>
      <c r="H7" s="8" t="s">
        <v>73</v>
      </c>
      <c r="I7" s="9">
        <v>7900</v>
      </c>
      <c r="J7" s="9"/>
      <c r="K7" s="36">
        <v>7900</v>
      </c>
      <c r="L7" s="11" t="s">
        <v>368</v>
      </c>
    </row>
    <row r="8" spans="1:12" ht="39" x14ac:dyDescent="0.3">
      <c r="A8" s="8" t="s">
        <v>48</v>
      </c>
      <c r="B8" s="8" t="s">
        <v>17</v>
      </c>
      <c r="C8" s="8" t="s">
        <v>10</v>
      </c>
      <c r="D8" s="8" t="s">
        <v>19</v>
      </c>
      <c r="E8" s="8" t="s">
        <v>301</v>
      </c>
      <c r="F8" s="8"/>
      <c r="G8" s="8" t="s">
        <v>13</v>
      </c>
      <c r="H8" s="8" t="s">
        <v>292</v>
      </c>
      <c r="I8" s="9">
        <v>0.1</v>
      </c>
      <c r="J8" s="9">
        <v>14230</v>
      </c>
      <c r="K8" s="36">
        <v>14230.1</v>
      </c>
      <c r="L8" s="11" t="s">
        <v>370</v>
      </c>
    </row>
    <row r="9" spans="1:12" ht="39" x14ac:dyDescent="0.3">
      <c r="A9" s="8" t="s">
        <v>305</v>
      </c>
      <c r="B9" s="8" t="s">
        <v>17</v>
      </c>
      <c r="C9" s="8" t="s">
        <v>306</v>
      </c>
      <c r="D9" s="8" t="s">
        <v>66</v>
      </c>
      <c r="E9" s="8" t="s">
        <v>293</v>
      </c>
      <c r="F9" s="8"/>
      <c r="G9" s="8" t="s">
        <v>13</v>
      </c>
      <c r="H9" s="8" t="s">
        <v>292</v>
      </c>
      <c r="I9" s="9">
        <v>0.1</v>
      </c>
      <c r="J9" s="9">
        <v>66000</v>
      </c>
      <c r="K9" s="36">
        <v>66000</v>
      </c>
      <c r="L9" s="11" t="s">
        <v>372</v>
      </c>
    </row>
    <row r="10" spans="1:12" ht="26" x14ac:dyDescent="0.3">
      <c r="A10" s="8" t="s">
        <v>300</v>
      </c>
      <c r="B10" s="8" t="s">
        <v>17</v>
      </c>
      <c r="C10" s="8" t="s">
        <v>298</v>
      </c>
      <c r="D10" s="8" t="s">
        <v>294</v>
      </c>
      <c r="E10" s="8" t="s">
        <v>295</v>
      </c>
      <c r="F10" s="8"/>
      <c r="G10" s="8" t="s">
        <v>13</v>
      </c>
      <c r="H10" s="8" t="s">
        <v>291</v>
      </c>
      <c r="I10" s="9">
        <v>841861</v>
      </c>
      <c r="J10" s="9"/>
      <c r="K10" s="36">
        <v>841861</v>
      </c>
      <c r="L10" s="11" t="s">
        <v>369</v>
      </c>
    </row>
    <row r="11" spans="1:12" ht="91" x14ac:dyDescent="0.3">
      <c r="A11" s="8" t="s">
        <v>305</v>
      </c>
      <c r="B11" s="8" t="s">
        <v>37</v>
      </c>
      <c r="C11" s="8" t="s">
        <v>139</v>
      </c>
      <c r="D11" s="8" t="s">
        <v>19</v>
      </c>
      <c r="E11" s="8" t="s">
        <v>21</v>
      </c>
      <c r="F11" s="8"/>
      <c r="G11" s="8" t="s">
        <v>13</v>
      </c>
      <c r="H11" s="8" t="s">
        <v>291</v>
      </c>
      <c r="I11" s="9">
        <f>137474.1-12000</f>
        <v>125474.1</v>
      </c>
      <c r="J11" s="9">
        <f>12000+2839</f>
        <v>14839</v>
      </c>
      <c r="K11" s="36">
        <v>140313.1</v>
      </c>
      <c r="L11" s="38" t="s">
        <v>364</v>
      </c>
    </row>
    <row r="12" spans="1:12" x14ac:dyDescent="0.3">
      <c r="I12" s="4">
        <f>SUBTOTAL(109,Table130[Esialgne eelarve])</f>
        <v>1000109.4</v>
      </c>
      <c r="J12" s="4">
        <f>SUBTOTAL(109,Table130[Muudatused])</f>
        <v>145069</v>
      </c>
      <c r="K12" s="4">
        <f>SUBTOTAL(109,Table130[Muudetud eelarve])</f>
        <v>1145178.3</v>
      </c>
    </row>
    <row r="18" spans="9:12" x14ac:dyDescent="0.3">
      <c r="I18" s="4"/>
    </row>
    <row r="19" spans="9:12" x14ac:dyDescent="0.3">
      <c r="L19" s="3"/>
    </row>
    <row r="20" spans="9:12" x14ac:dyDescent="0.3">
      <c r="L20" s="3"/>
    </row>
    <row r="21" spans="9:12" x14ac:dyDescent="0.3">
      <c r="L21" s="3"/>
    </row>
  </sheetData>
  <pageMargins left="0.7" right="0.7" top="0.75" bottom="0.75" header="0.3" footer="0.3"/>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69F6A-AAC6-42EE-8241-01DA563C1CAB}">
  <sheetPr>
    <tabColor rgb="FF92D050"/>
  </sheetPr>
  <dimension ref="A1:L16"/>
  <sheetViews>
    <sheetView topLeftCell="A10" workbookViewId="0">
      <selection activeCell="A2" sqref="A2"/>
    </sheetView>
  </sheetViews>
  <sheetFormatPr defaultRowHeight="13" x14ac:dyDescent="0.3"/>
  <cols>
    <col min="1" max="1" width="18.26953125" style="3" bestFit="1" customWidth="1"/>
    <col min="2" max="2" width="13.26953125" style="3" bestFit="1" customWidth="1"/>
    <col min="3" max="3" width="12.81640625" style="3" bestFit="1" customWidth="1"/>
    <col min="4" max="4" width="10.90625" style="3" bestFit="1" customWidth="1"/>
    <col min="5" max="5" width="15.6328125" style="3" bestFit="1" customWidth="1"/>
    <col min="6" max="6" width="15.7265625" style="3" bestFit="1" customWidth="1"/>
    <col min="7" max="7" width="12.81640625" style="3" bestFit="1" customWidth="1"/>
    <col min="8" max="8" width="13.1796875" style="3" bestFit="1" customWidth="1"/>
    <col min="9" max="9" width="11.54296875" style="3" bestFit="1" customWidth="1"/>
    <col min="10" max="10" width="13.1796875" style="3" bestFit="1" customWidth="1"/>
    <col min="11" max="11" width="13.453125" style="3" bestFit="1" customWidth="1"/>
    <col min="12" max="12" width="32.81640625" style="13" bestFit="1" customWidth="1"/>
    <col min="13" max="16384" width="8.7265625" style="3"/>
  </cols>
  <sheetData>
    <row r="1" spans="1:12" x14ac:dyDescent="0.3">
      <c r="A1" s="15" t="s">
        <v>337</v>
      </c>
      <c r="L1" s="14" t="s">
        <v>338</v>
      </c>
    </row>
    <row r="2" spans="1:12" s="25" customFormat="1" ht="26" x14ac:dyDescent="0.35">
      <c r="A2" s="27" t="s">
        <v>0</v>
      </c>
      <c r="B2" s="28" t="s">
        <v>1</v>
      </c>
      <c r="C2" s="28" t="s">
        <v>128</v>
      </c>
      <c r="D2" s="28" t="s">
        <v>2</v>
      </c>
      <c r="E2" s="28" t="s">
        <v>3</v>
      </c>
      <c r="F2" s="28" t="s">
        <v>4</v>
      </c>
      <c r="G2" s="28" t="s">
        <v>5</v>
      </c>
      <c r="H2" s="28" t="s">
        <v>6</v>
      </c>
      <c r="I2" s="28" t="s">
        <v>114</v>
      </c>
      <c r="J2" s="28" t="s">
        <v>7</v>
      </c>
      <c r="K2" s="28" t="s">
        <v>163</v>
      </c>
      <c r="L2" s="29" t="s">
        <v>162</v>
      </c>
    </row>
    <row r="3" spans="1:12" x14ac:dyDescent="0.3">
      <c r="A3" s="30" t="s">
        <v>39</v>
      </c>
      <c r="B3" s="8" t="s">
        <v>40</v>
      </c>
      <c r="C3" s="8" t="s">
        <v>41</v>
      </c>
      <c r="D3" s="8" t="s">
        <v>19</v>
      </c>
      <c r="E3" s="8"/>
      <c r="F3" s="8"/>
      <c r="G3" s="8" t="s">
        <v>13</v>
      </c>
      <c r="H3" s="8" t="s">
        <v>273</v>
      </c>
      <c r="I3" s="9">
        <v>968</v>
      </c>
      <c r="J3" s="8"/>
      <c r="K3" s="36">
        <v>968</v>
      </c>
      <c r="L3" s="24" t="s">
        <v>124</v>
      </c>
    </row>
    <row r="4" spans="1:12" x14ac:dyDescent="0.3">
      <c r="A4" s="30" t="s">
        <v>69</v>
      </c>
      <c r="B4" s="8" t="s">
        <v>9</v>
      </c>
      <c r="C4" s="8" t="s">
        <v>70</v>
      </c>
      <c r="D4" s="8" t="s">
        <v>11</v>
      </c>
      <c r="E4" s="8" t="s">
        <v>21</v>
      </c>
      <c r="F4" s="8" t="s">
        <v>275</v>
      </c>
      <c r="G4" s="8" t="s">
        <v>21</v>
      </c>
      <c r="H4" s="8" t="s">
        <v>21</v>
      </c>
      <c r="I4" s="9">
        <v>24155</v>
      </c>
      <c r="J4" s="8"/>
      <c r="K4" s="36">
        <v>24155</v>
      </c>
      <c r="L4" s="39" t="s">
        <v>276</v>
      </c>
    </row>
    <row r="5" spans="1:12" x14ac:dyDescent="0.3">
      <c r="A5" s="30" t="s">
        <v>8</v>
      </c>
      <c r="B5" s="8" t="s">
        <v>9</v>
      </c>
      <c r="C5" s="8" t="s">
        <v>10</v>
      </c>
      <c r="D5" s="8" t="s">
        <v>11</v>
      </c>
      <c r="E5" s="8" t="s">
        <v>21</v>
      </c>
      <c r="F5" s="8" t="s">
        <v>275</v>
      </c>
      <c r="G5" s="8" t="s">
        <v>21</v>
      </c>
      <c r="H5" s="8" t="s">
        <v>21</v>
      </c>
      <c r="I5" s="9">
        <v>109356</v>
      </c>
      <c r="J5" s="8"/>
      <c r="K5" s="36">
        <v>109356</v>
      </c>
      <c r="L5" s="39" t="s">
        <v>276</v>
      </c>
    </row>
    <row r="6" spans="1:12" ht="26" x14ac:dyDescent="0.3">
      <c r="A6" s="30" t="s">
        <v>69</v>
      </c>
      <c r="B6" s="8" t="s">
        <v>9</v>
      </c>
      <c r="C6" s="8" t="s">
        <v>70</v>
      </c>
      <c r="D6" s="8" t="s">
        <v>11</v>
      </c>
      <c r="E6" s="8" t="s">
        <v>21</v>
      </c>
      <c r="F6" s="8" t="s">
        <v>277</v>
      </c>
      <c r="G6" s="8" t="s">
        <v>21</v>
      </c>
      <c r="H6" s="8" t="s">
        <v>273</v>
      </c>
      <c r="I6" s="9">
        <v>28688</v>
      </c>
      <c r="J6" s="8"/>
      <c r="K6" s="36">
        <v>28688</v>
      </c>
      <c r="L6" s="39" t="s">
        <v>278</v>
      </c>
    </row>
    <row r="7" spans="1:12" ht="26" x14ac:dyDescent="0.3">
      <c r="A7" s="30" t="s">
        <v>8</v>
      </c>
      <c r="B7" s="8" t="s">
        <v>9</v>
      </c>
      <c r="C7" s="8" t="s">
        <v>10</v>
      </c>
      <c r="D7" s="8" t="s">
        <v>11</v>
      </c>
      <c r="E7" s="8" t="s">
        <v>21</v>
      </c>
      <c r="F7" s="8" t="s">
        <v>277</v>
      </c>
      <c r="G7" s="8" t="s">
        <v>21</v>
      </c>
      <c r="H7" s="8" t="s">
        <v>273</v>
      </c>
      <c r="I7" s="9">
        <v>226193</v>
      </c>
      <c r="J7" s="8"/>
      <c r="K7" s="36">
        <v>226193</v>
      </c>
      <c r="L7" s="39" t="s">
        <v>278</v>
      </c>
    </row>
    <row r="8" spans="1:12" ht="26" x14ac:dyDescent="0.3">
      <c r="A8" s="30" t="s">
        <v>42</v>
      </c>
      <c r="B8" s="8" t="s">
        <v>9</v>
      </c>
      <c r="C8" s="8" t="s">
        <v>43</v>
      </c>
      <c r="D8" s="8" t="s">
        <v>11</v>
      </c>
      <c r="E8" s="8" t="s">
        <v>21</v>
      </c>
      <c r="F8" s="8" t="s">
        <v>274</v>
      </c>
      <c r="G8" s="8" t="s">
        <v>21</v>
      </c>
      <c r="H8" s="8" t="s">
        <v>273</v>
      </c>
      <c r="I8" s="9">
        <v>28688</v>
      </c>
      <c r="J8" s="8"/>
      <c r="K8" s="36">
        <v>28688</v>
      </c>
      <c r="L8" s="39" t="s">
        <v>279</v>
      </c>
    </row>
    <row r="9" spans="1:12" ht="26" x14ac:dyDescent="0.3">
      <c r="A9" s="30" t="s">
        <v>8</v>
      </c>
      <c r="B9" s="8" t="s">
        <v>9</v>
      </c>
      <c r="C9" s="8" t="s">
        <v>10</v>
      </c>
      <c r="D9" s="8" t="s">
        <v>11</v>
      </c>
      <c r="E9" s="8" t="s">
        <v>21</v>
      </c>
      <c r="F9" s="8" t="s">
        <v>274</v>
      </c>
      <c r="G9" s="8" t="s">
        <v>21</v>
      </c>
      <c r="H9" s="8" t="s">
        <v>273</v>
      </c>
      <c r="I9" s="9">
        <v>166826</v>
      </c>
      <c r="J9" s="8"/>
      <c r="K9" s="36">
        <v>166826</v>
      </c>
      <c r="L9" s="39" t="s">
        <v>279</v>
      </c>
    </row>
    <row r="10" spans="1:12" ht="39" x14ac:dyDescent="0.3">
      <c r="A10" s="30" t="s">
        <v>42</v>
      </c>
      <c r="B10" s="8" t="s">
        <v>9</v>
      </c>
      <c r="C10" s="8" t="s">
        <v>43</v>
      </c>
      <c r="D10" s="8" t="s">
        <v>11</v>
      </c>
      <c r="E10" s="8" t="s">
        <v>21</v>
      </c>
      <c r="F10" s="8" t="s">
        <v>280</v>
      </c>
      <c r="G10" s="8" t="s">
        <v>21</v>
      </c>
      <c r="H10" s="8" t="s">
        <v>273</v>
      </c>
      <c r="I10" s="9">
        <v>28688</v>
      </c>
      <c r="J10" s="8"/>
      <c r="K10" s="36">
        <v>28688</v>
      </c>
      <c r="L10" s="39" t="s">
        <v>281</v>
      </c>
    </row>
    <row r="11" spans="1:12" ht="39" x14ac:dyDescent="0.3">
      <c r="A11" s="30" t="s">
        <v>8</v>
      </c>
      <c r="B11" s="8" t="s">
        <v>9</v>
      </c>
      <c r="C11" s="8" t="s">
        <v>10</v>
      </c>
      <c r="D11" s="8" t="s">
        <v>11</v>
      </c>
      <c r="E11" s="8" t="s">
        <v>21</v>
      </c>
      <c r="F11" s="8" t="s">
        <v>280</v>
      </c>
      <c r="G11" s="8" t="s">
        <v>21</v>
      </c>
      <c r="H11" s="8" t="s">
        <v>273</v>
      </c>
      <c r="I11" s="9">
        <v>166826</v>
      </c>
      <c r="J11" s="8"/>
      <c r="K11" s="36">
        <v>166826</v>
      </c>
      <c r="L11" s="39" t="s">
        <v>281</v>
      </c>
    </row>
    <row r="12" spans="1:12" x14ac:dyDescent="0.3">
      <c r="A12" s="30" t="s">
        <v>50</v>
      </c>
      <c r="B12" s="8" t="s">
        <v>9</v>
      </c>
      <c r="C12" s="8" t="s">
        <v>51</v>
      </c>
      <c r="D12" s="8" t="s">
        <v>55</v>
      </c>
      <c r="E12" s="8" t="s">
        <v>21</v>
      </c>
      <c r="F12" s="8" t="s">
        <v>282</v>
      </c>
      <c r="G12" s="8" t="s">
        <v>63</v>
      </c>
      <c r="H12" s="8" t="s">
        <v>273</v>
      </c>
      <c r="I12" s="9">
        <v>2274062</v>
      </c>
      <c r="J12" s="8"/>
      <c r="K12" s="36">
        <v>2274062</v>
      </c>
      <c r="L12" s="39" t="s">
        <v>21</v>
      </c>
    </row>
    <row r="13" spans="1:12" ht="26" x14ac:dyDescent="0.3">
      <c r="A13" s="30" t="s">
        <v>50</v>
      </c>
      <c r="B13" s="8" t="s">
        <v>9</v>
      </c>
      <c r="C13" s="8" t="s">
        <v>51</v>
      </c>
      <c r="D13" s="8" t="s">
        <v>283</v>
      </c>
      <c r="E13" s="8" t="s">
        <v>21</v>
      </c>
      <c r="F13" s="8" t="s">
        <v>284</v>
      </c>
      <c r="G13" s="8" t="s">
        <v>285</v>
      </c>
      <c r="H13" s="8" t="s">
        <v>273</v>
      </c>
      <c r="I13" s="9">
        <v>0.1</v>
      </c>
      <c r="J13" s="9">
        <v>1044454</v>
      </c>
      <c r="K13" s="36">
        <v>1044454.1</v>
      </c>
      <c r="L13" s="39" t="s">
        <v>373</v>
      </c>
    </row>
    <row r="14" spans="1:12" ht="26" x14ac:dyDescent="0.3">
      <c r="A14" s="30" t="s">
        <v>50</v>
      </c>
      <c r="B14" s="8" t="s">
        <v>9</v>
      </c>
      <c r="C14" s="8" t="s">
        <v>51</v>
      </c>
      <c r="D14" s="8" t="s">
        <v>52</v>
      </c>
      <c r="E14" s="8" t="s">
        <v>21</v>
      </c>
      <c r="F14" s="8" t="s">
        <v>284</v>
      </c>
      <c r="G14" s="8" t="s">
        <v>285</v>
      </c>
      <c r="H14" s="8" t="s">
        <v>273</v>
      </c>
      <c r="I14" s="9">
        <v>19798448</v>
      </c>
      <c r="J14" s="9"/>
      <c r="K14" s="36">
        <v>19798448</v>
      </c>
      <c r="L14" s="39" t="s">
        <v>286</v>
      </c>
    </row>
    <row r="15" spans="1:12" ht="26" x14ac:dyDescent="0.3">
      <c r="A15" s="30" t="s">
        <v>50</v>
      </c>
      <c r="B15" s="8" t="s">
        <v>9</v>
      </c>
      <c r="C15" s="8" t="s">
        <v>51</v>
      </c>
      <c r="D15" s="8" t="s">
        <v>55</v>
      </c>
      <c r="E15" s="8" t="s">
        <v>21</v>
      </c>
      <c r="F15" s="8" t="s">
        <v>287</v>
      </c>
      <c r="G15" s="8" t="s">
        <v>285</v>
      </c>
      <c r="H15" s="8" t="s">
        <v>273</v>
      </c>
      <c r="I15" s="9">
        <v>4323662</v>
      </c>
      <c r="J15" s="9"/>
      <c r="K15" s="36">
        <v>4323662</v>
      </c>
      <c r="L15" s="39" t="s">
        <v>288</v>
      </c>
    </row>
    <row r="16" spans="1:12" x14ac:dyDescent="0.3">
      <c r="A16" s="31"/>
      <c r="B16" s="32"/>
      <c r="C16" s="32"/>
      <c r="D16" s="32"/>
      <c r="E16" s="32"/>
      <c r="F16" s="32"/>
      <c r="G16" s="32"/>
      <c r="H16" s="32"/>
      <c r="I16" s="9">
        <f>SUBTOTAL(109,Table127[Esialgne eelarve])</f>
        <v>27176560.100000001</v>
      </c>
      <c r="J16" s="9">
        <f>SUBTOTAL(109,Table127[Muudatused])</f>
        <v>1044454</v>
      </c>
      <c r="K16" s="9">
        <f>SUBTOTAL(109,Table127[Muudetud eelarve])</f>
        <v>28221014.100000001</v>
      </c>
      <c r="L16" s="40"/>
    </row>
  </sheetData>
  <pageMargins left="0.7" right="0.7" top="0.75" bottom="0.75" header="0.3" footer="0.3"/>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C66AC-0BAA-4D1D-8F74-372A45A5C6B0}">
  <sheetPr>
    <tabColor rgb="FF92D050"/>
  </sheetPr>
  <dimension ref="A1:L9"/>
  <sheetViews>
    <sheetView workbookViewId="0">
      <selection activeCell="A2" sqref="A2"/>
    </sheetView>
  </sheetViews>
  <sheetFormatPr defaultRowHeight="13" x14ac:dyDescent="0.3"/>
  <cols>
    <col min="1" max="1" width="18.26953125" style="3" bestFit="1" customWidth="1"/>
    <col min="2" max="2" width="13.26953125" style="3" bestFit="1" customWidth="1"/>
    <col min="3" max="3" width="12.81640625" style="3" bestFit="1" customWidth="1"/>
    <col min="4" max="4" width="10.90625" style="3" bestFit="1" customWidth="1"/>
    <col min="5" max="5" width="11.54296875" style="3" bestFit="1" customWidth="1"/>
    <col min="6" max="6" width="9.7265625" style="3" bestFit="1" customWidth="1"/>
    <col min="7" max="7" width="12.81640625" style="3" bestFit="1" customWidth="1"/>
    <col min="8" max="8" width="13.1796875" style="3" bestFit="1" customWidth="1"/>
    <col min="9" max="9" width="11.54296875" style="3" bestFit="1" customWidth="1"/>
    <col min="10" max="10" width="13.1796875" style="3" bestFit="1" customWidth="1"/>
    <col min="11" max="11" width="12.453125" style="3" bestFit="1" customWidth="1"/>
    <col min="12" max="12" width="46.7265625" style="13" bestFit="1" customWidth="1"/>
    <col min="13" max="16384" width="8.7265625" style="3"/>
  </cols>
  <sheetData>
    <row r="1" spans="1:12" x14ac:dyDescent="0.3">
      <c r="A1" s="15" t="s">
        <v>339</v>
      </c>
      <c r="L1" s="14" t="s">
        <v>340</v>
      </c>
    </row>
    <row r="2" spans="1:12" s="25" customFormat="1" ht="26" x14ac:dyDescent="0.35">
      <c r="A2" s="27" t="s">
        <v>0</v>
      </c>
      <c r="B2" s="28" t="s">
        <v>1</v>
      </c>
      <c r="C2" s="28" t="s">
        <v>128</v>
      </c>
      <c r="D2" s="28" t="s">
        <v>2</v>
      </c>
      <c r="E2" s="28" t="s">
        <v>3</v>
      </c>
      <c r="F2" s="28" t="s">
        <v>4</v>
      </c>
      <c r="G2" s="28" t="s">
        <v>5</v>
      </c>
      <c r="H2" s="28" t="s">
        <v>6</v>
      </c>
      <c r="I2" s="28" t="s">
        <v>114</v>
      </c>
      <c r="J2" s="28" t="s">
        <v>7</v>
      </c>
      <c r="K2" s="28" t="s">
        <v>163</v>
      </c>
      <c r="L2" s="29" t="s">
        <v>162</v>
      </c>
    </row>
    <row r="3" spans="1:12" x14ac:dyDescent="0.3">
      <c r="A3" s="30" t="s">
        <v>39</v>
      </c>
      <c r="B3" s="8" t="s">
        <v>40</v>
      </c>
      <c r="C3" s="8" t="s">
        <v>41</v>
      </c>
      <c r="D3" s="8" t="s">
        <v>19</v>
      </c>
      <c r="E3" s="8"/>
      <c r="F3" s="8"/>
      <c r="G3" s="8" t="s">
        <v>13</v>
      </c>
      <c r="H3" s="8" t="s">
        <v>169</v>
      </c>
      <c r="I3" s="9">
        <v>792</v>
      </c>
      <c r="J3" s="8"/>
      <c r="K3" s="9">
        <v>792</v>
      </c>
      <c r="L3" s="24" t="s">
        <v>124</v>
      </c>
    </row>
    <row r="4" spans="1:12" x14ac:dyDescent="0.3">
      <c r="A4" s="30" t="s">
        <v>42</v>
      </c>
      <c r="B4" s="8" t="s">
        <v>40</v>
      </c>
      <c r="C4" s="8" t="s">
        <v>43</v>
      </c>
      <c r="D4" s="8" t="s">
        <v>19</v>
      </c>
      <c r="E4" s="8"/>
      <c r="F4" s="8"/>
      <c r="G4" s="8" t="s">
        <v>13</v>
      </c>
      <c r="H4" s="8" t="s">
        <v>169</v>
      </c>
      <c r="I4" s="9">
        <v>1212</v>
      </c>
      <c r="J4" s="8"/>
      <c r="K4" s="9">
        <v>1212</v>
      </c>
      <c r="L4" s="24" t="s">
        <v>147</v>
      </c>
    </row>
    <row r="5" spans="1:12" ht="52" x14ac:dyDescent="0.3">
      <c r="A5" s="30" t="s">
        <v>42</v>
      </c>
      <c r="B5" s="8" t="s">
        <v>17</v>
      </c>
      <c r="C5" s="8" t="s">
        <v>43</v>
      </c>
      <c r="D5" s="8" t="s">
        <v>19</v>
      </c>
      <c r="E5" s="8" t="s">
        <v>170</v>
      </c>
      <c r="F5" s="8"/>
      <c r="G5" s="8" t="s">
        <v>13</v>
      </c>
      <c r="H5" s="8" t="s">
        <v>169</v>
      </c>
      <c r="I5" s="9">
        <v>0.1</v>
      </c>
      <c r="J5" s="9">
        <v>10000</v>
      </c>
      <c r="K5" s="9">
        <v>10000.1</v>
      </c>
      <c r="L5" s="39" t="s">
        <v>310</v>
      </c>
    </row>
    <row r="6" spans="1:12" x14ac:dyDescent="0.3">
      <c r="A6" s="30" t="s">
        <v>48</v>
      </c>
      <c r="B6" s="8" t="s">
        <v>17</v>
      </c>
      <c r="C6" s="8" t="s">
        <v>10</v>
      </c>
      <c r="D6" s="8" t="s">
        <v>19</v>
      </c>
      <c r="E6" s="8" t="s">
        <v>171</v>
      </c>
      <c r="F6" s="8"/>
      <c r="G6" s="8" t="s">
        <v>13</v>
      </c>
      <c r="H6" s="8" t="s">
        <v>169</v>
      </c>
      <c r="I6" s="9">
        <v>0.1</v>
      </c>
      <c r="J6" s="9">
        <v>11200</v>
      </c>
      <c r="K6" s="9">
        <v>11200.1</v>
      </c>
      <c r="L6" s="13" t="s">
        <v>125</v>
      </c>
    </row>
    <row r="7" spans="1:12" x14ac:dyDescent="0.3">
      <c r="A7" s="30" t="s">
        <v>172</v>
      </c>
      <c r="B7" s="8" t="s">
        <v>37</v>
      </c>
      <c r="C7" s="8" t="s">
        <v>173</v>
      </c>
      <c r="D7" s="8" t="s">
        <v>19</v>
      </c>
      <c r="E7" s="8" t="s">
        <v>21</v>
      </c>
      <c r="F7" s="8"/>
      <c r="G7" s="8" t="s">
        <v>13</v>
      </c>
      <c r="H7" s="8" t="s">
        <v>169</v>
      </c>
      <c r="I7" s="9">
        <v>171</v>
      </c>
      <c r="J7" s="9"/>
      <c r="K7" s="9">
        <v>171</v>
      </c>
      <c r="L7" s="39" t="s">
        <v>21</v>
      </c>
    </row>
    <row r="8" spans="1:12" x14ac:dyDescent="0.3">
      <c r="A8" s="31" t="s">
        <v>174</v>
      </c>
      <c r="B8" s="32" t="s">
        <v>37</v>
      </c>
      <c r="C8" s="32" t="s">
        <v>175</v>
      </c>
      <c r="D8" s="32" t="s">
        <v>19</v>
      </c>
      <c r="E8" s="32" t="s">
        <v>21</v>
      </c>
      <c r="F8" s="32"/>
      <c r="G8" s="32" t="s">
        <v>13</v>
      </c>
      <c r="H8" s="32" t="s">
        <v>169</v>
      </c>
      <c r="I8" s="33">
        <v>4739</v>
      </c>
      <c r="J8" s="33"/>
      <c r="K8" s="33">
        <v>4739</v>
      </c>
      <c r="L8" s="40" t="s">
        <v>21</v>
      </c>
    </row>
    <row r="9" spans="1:12" x14ac:dyDescent="0.3">
      <c r="A9" s="31"/>
      <c r="B9" s="32"/>
      <c r="C9" s="32"/>
      <c r="D9" s="32"/>
      <c r="E9" s="32"/>
      <c r="F9" s="32"/>
      <c r="G9" s="32"/>
      <c r="H9" s="32"/>
      <c r="I9" s="9">
        <f>SUBTOTAL(109,Table16[Esialgne eelarve])</f>
        <v>6914.2</v>
      </c>
      <c r="J9" s="9">
        <f>SUBTOTAL(109,Table16[Muudatused])</f>
        <v>21200</v>
      </c>
      <c r="K9" s="9">
        <f>SUBTOTAL(109,Table16[Muudetud eelarve])</f>
        <v>28114.2</v>
      </c>
      <c r="L9" s="40"/>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D7F08-BA26-4380-90EC-FBD938B0477B}">
  <sheetPr>
    <tabColor rgb="FF92D050"/>
  </sheetPr>
  <dimension ref="A1:L13"/>
  <sheetViews>
    <sheetView workbookViewId="0">
      <selection activeCell="I11" activeCellId="1" sqref="I3:I9 I11"/>
    </sheetView>
  </sheetViews>
  <sheetFormatPr defaultRowHeight="13" x14ac:dyDescent="0.3"/>
  <cols>
    <col min="1" max="1" width="22.90625" style="3" bestFit="1" customWidth="1"/>
    <col min="2" max="2" width="11.7265625" style="3" bestFit="1" customWidth="1"/>
    <col min="3" max="3" width="14.6328125" style="3" bestFit="1" customWidth="1"/>
    <col min="4" max="4" width="20.08984375" style="3" bestFit="1" customWidth="1"/>
    <col min="5" max="5" width="19.81640625" style="3" bestFit="1" customWidth="1"/>
    <col min="6" max="6" width="7.90625" style="3" bestFit="1" customWidth="1"/>
    <col min="7" max="7" width="12.26953125" style="3" bestFit="1" customWidth="1"/>
    <col min="8" max="8" width="11.6328125" style="3" bestFit="1" customWidth="1"/>
    <col min="9" max="11" width="8.90625" style="3" customWidth="1"/>
    <col min="12" max="12" width="61.26953125" style="5" customWidth="1"/>
    <col min="13" max="16384" width="8.7265625" style="3"/>
  </cols>
  <sheetData>
    <row r="1" spans="1:12" x14ac:dyDescent="0.3">
      <c r="A1" s="15" t="s">
        <v>129</v>
      </c>
      <c r="L1" s="16" t="s">
        <v>130</v>
      </c>
    </row>
    <row r="2" spans="1:12" ht="26" x14ac:dyDescent="0.3">
      <c r="A2" s="7" t="s">
        <v>0</v>
      </c>
      <c r="B2" s="7" t="s">
        <v>1</v>
      </c>
      <c r="C2" s="12" t="s">
        <v>128</v>
      </c>
      <c r="D2" s="7" t="s">
        <v>2</v>
      </c>
      <c r="E2" s="7" t="s">
        <v>3</v>
      </c>
      <c r="F2" s="7" t="s">
        <v>4</v>
      </c>
      <c r="G2" s="7" t="s">
        <v>5</v>
      </c>
      <c r="H2" s="7" t="s">
        <v>6</v>
      </c>
      <c r="I2" s="12" t="s">
        <v>114</v>
      </c>
      <c r="J2" s="7" t="s">
        <v>7</v>
      </c>
      <c r="K2" s="12" t="s">
        <v>163</v>
      </c>
      <c r="L2" s="12" t="s">
        <v>162</v>
      </c>
    </row>
    <row r="3" spans="1:12" x14ac:dyDescent="0.3">
      <c r="A3" s="8" t="s">
        <v>87</v>
      </c>
      <c r="B3" s="8" t="s">
        <v>40</v>
      </c>
      <c r="C3" s="8" t="s">
        <v>41</v>
      </c>
      <c r="D3" s="8" t="s">
        <v>19</v>
      </c>
      <c r="E3" s="8" t="s">
        <v>21</v>
      </c>
      <c r="F3" s="8"/>
      <c r="G3" s="8" t="s">
        <v>13</v>
      </c>
      <c r="H3" s="8" t="s">
        <v>76</v>
      </c>
      <c r="I3" s="9">
        <v>1860</v>
      </c>
      <c r="J3" s="9"/>
      <c r="K3" s="9">
        <v>1860</v>
      </c>
      <c r="L3" s="10" t="s">
        <v>21</v>
      </c>
    </row>
    <row r="4" spans="1:12" x14ac:dyDescent="0.3">
      <c r="A4" s="8" t="s">
        <v>39</v>
      </c>
      <c r="B4" s="8" t="s">
        <v>40</v>
      </c>
      <c r="C4" s="8" t="s">
        <v>41</v>
      </c>
      <c r="D4" s="8" t="s">
        <v>19</v>
      </c>
      <c r="E4" s="8" t="s">
        <v>21</v>
      </c>
      <c r="F4" s="8"/>
      <c r="G4" s="8" t="s">
        <v>13</v>
      </c>
      <c r="H4" s="8" t="s">
        <v>88</v>
      </c>
      <c r="I4" s="9">
        <v>440</v>
      </c>
      <c r="J4" s="9"/>
      <c r="K4" s="9">
        <v>440</v>
      </c>
      <c r="L4" s="10" t="s">
        <v>21</v>
      </c>
    </row>
    <row r="5" spans="1:12" x14ac:dyDescent="0.3">
      <c r="A5" s="8" t="s">
        <v>80</v>
      </c>
      <c r="B5" s="8" t="s">
        <v>40</v>
      </c>
      <c r="C5" s="8" t="s">
        <v>81</v>
      </c>
      <c r="D5" s="8" t="s">
        <v>19</v>
      </c>
      <c r="E5" s="8" t="s">
        <v>21</v>
      </c>
      <c r="F5" s="8"/>
      <c r="G5" s="8" t="s">
        <v>13</v>
      </c>
      <c r="H5" s="8" t="s">
        <v>88</v>
      </c>
      <c r="I5" s="9">
        <v>1077</v>
      </c>
      <c r="J5" s="9"/>
      <c r="K5" s="9">
        <v>1077</v>
      </c>
      <c r="L5" s="10" t="s">
        <v>21</v>
      </c>
    </row>
    <row r="6" spans="1:12" ht="52" x14ac:dyDescent="0.3">
      <c r="A6" s="8" t="s">
        <v>80</v>
      </c>
      <c r="B6" s="8" t="s">
        <v>17</v>
      </c>
      <c r="C6" s="8" t="s">
        <v>81</v>
      </c>
      <c r="D6" s="8" t="s">
        <v>19</v>
      </c>
      <c r="E6" s="8" t="s">
        <v>82</v>
      </c>
      <c r="F6" s="8"/>
      <c r="G6" s="8" t="s">
        <v>13</v>
      </c>
      <c r="H6" s="8" t="s">
        <v>73</v>
      </c>
      <c r="I6" s="9">
        <v>8000</v>
      </c>
      <c r="J6" s="9">
        <v>20000</v>
      </c>
      <c r="K6" s="9">
        <v>28000</v>
      </c>
      <c r="L6" s="10" t="s">
        <v>132</v>
      </c>
    </row>
    <row r="7" spans="1:12" x14ac:dyDescent="0.3">
      <c r="A7" s="8" t="s">
        <v>69</v>
      </c>
      <c r="B7" s="8" t="s">
        <v>17</v>
      </c>
      <c r="C7" s="8" t="s">
        <v>70</v>
      </c>
      <c r="D7" s="8" t="s">
        <v>19</v>
      </c>
      <c r="E7" s="8" t="s">
        <v>86</v>
      </c>
      <c r="F7" s="8"/>
      <c r="G7" s="8" t="s">
        <v>13</v>
      </c>
      <c r="H7" s="8" t="s">
        <v>73</v>
      </c>
      <c r="I7" s="9">
        <v>5000</v>
      </c>
      <c r="J7" s="9"/>
      <c r="K7" s="9">
        <v>5000</v>
      </c>
      <c r="L7" s="10" t="s">
        <v>133</v>
      </c>
    </row>
    <row r="8" spans="1:12" x14ac:dyDescent="0.3">
      <c r="A8" s="8" t="s">
        <v>69</v>
      </c>
      <c r="B8" s="8" t="s">
        <v>37</v>
      </c>
      <c r="C8" s="8" t="s">
        <v>70</v>
      </c>
      <c r="D8" s="8" t="s">
        <v>19</v>
      </c>
      <c r="E8" s="8"/>
      <c r="F8" s="8"/>
      <c r="G8" s="8" t="s">
        <v>13</v>
      </c>
      <c r="H8" s="8" t="s">
        <v>73</v>
      </c>
      <c r="I8" s="9">
        <v>160000</v>
      </c>
      <c r="J8" s="8"/>
      <c r="K8" s="9">
        <v>160000</v>
      </c>
      <c r="L8" s="10"/>
    </row>
    <row r="9" spans="1:12" ht="26" x14ac:dyDescent="0.3">
      <c r="A9" s="8" t="s">
        <v>74</v>
      </c>
      <c r="B9" s="8" t="s">
        <v>40</v>
      </c>
      <c r="C9" s="8" t="s">
        <v>75</v>
      </c>
      <c r="D9" s="8" t="s">
        <v>19</v>
      </c>
      <c r="E9" s="8"/>
      <c r="F9" s="8"/>
      <c r="G9" s="8" t="s">
        <v>13</v>
      </c>
      <c r="H9" s="8" t="s">
        <v>76</v>
      </c>
      <c r="I9" s="9">
        <v>94542</v>
      </c>
      <c r="J9" s="9">
        <v>6000</v>
      </c>
      <c r="K9" s="9">
        <v>100542</v>
      </c>
      <c r="L9" s="10" t="s">
        <v>131</v>
      </c>
    </row>
    <row r="10" spans="1:12" x14ac:dyDescent="0.3">
      <c r="A10" s="8" t="s">
        <v>77</v>
      </c>
      <c r="B10" s="8" t="s">
        <v>40</v>
      </c>
      <c r="C10" s="8" t="s">
        <v>51</v>
      </c>
      <c r="D10" s="8" t="s">
        <v>78</v>
      </c>
      <c r="E10" s="8"/>
      <c r="F10" s="8"/>
      <c r="G10" s="8" t="s">
        <v>13</v>
      </c>
      <c r="H10" s="8" t="s">
        <v>73</v>
      </c>
      <c r="I10" s="9">
        <v>50000</v>
      </c>
      <c r="J10" s="9"/>
      <c r="K10" s="9">
        <v>50000</v>
      </c>
      <c r="L10" s="10" t="s">
        <v>79</v>
      </c>
    </row>
    <row r="11" spans="1:12" x14ac:dyDescent="0.3">
      <c r="A11" s="8" t="s">
        <v>83</v>
      </c>
      <c r="B11" s="8" t="s">
        <v>17</v>
      </c>
      <c r="C11" s="8" t="s">
        <v>84</v>
      </c>
      <c r="D11" s="8" t="s">
        <v>19</v>
      </c>
      <c r="E11" s="8" t="s">
        <v>85</v>
      </c>
      <c r="F11" s="8"/>
      <c r="G11" s="8" t="s">
        <v>13</v>
      </c>
      <c r="H11" s="8" t="s">
        <v>73</v>
      </c>
      <c r="I11" s="9">
        <v>6000</v>
      </c>
      <c r="J11" s="9"/>
      <c r="K11" s="9">
        <v>6000</v>
      </c>
      <c r="L11" s="10"/>
    </row>
    <row r="12" spans="1:12" x14ac:dyDescent="0.3">
      <c r="A12" s="8" t="s">
        <v>48</v>
      </c>
      <c r="B12" s="8" t="s">
        <v>17</v>
      </c>
      <c r="C12" s="8" t="s">
        <v>10</v>
      </c>
      <c r="D12" s="8" t="s">
        <v>19</v>
      </c>
      <c r="E12" s="8" t="s">
        <v>89</v>
      </c>
      <c r="F12" s="8"/>
      <c r="G12" s="8" t="s">
        <v>13</v>
      </c>
      <c r="H12" s="8" t="s">
        <v>88</v>
      </c>
      <c r="I12" s="9">
        <v>0.1</v>
      </c>
      <c r="J12" s="9">
        <v>5900</v>
      </c>
      <c r="K12" s="9">
        <v>5900.1</v>
      </c>
      <c r="L12" s="10" t="s">
        <v>125</v>
      </c>
    </row>
    <row r="13" spans="1:12" x14ac:dyDescent="0.3">
      <c r="I13" s="4">
        <f>SUBTOTAL(109,Table110[Esialgne eelarve])</f>
        <v>326919.09999999998</v>
      </c>
      <c r="J13" s="4">
        <f>SUBTOTAL(109,Table110[Muudatused])</f>
        <v>31900</v>
      </c>
      <c r="K13" s="4">
        <f>SUBTOTAL(109,Table110[Muudetud eelarve])</f>
        <v>358819.1</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B2B50-CC46-4ED0-9C2E-F23EEB57C923}">
  <sheetPr>
    <tabColor rgb="FF92D050"/>
  </sheetPr>
  <dimension ref="A1:L18"/>
  <sheetViews>
    <sheetView workbookViewId="0">
      <selection activeCell="L3" sqref="L3:L4"/>
    </sheetView>
  </sheetViews>
  <sheetFormatPr defaultRowHeight="13" x14ac:dyDescent="0.3"/>
  <cols>
    <col min="1" max="1" width="19.36328125" style="3" bestFit="1" customWidth="1"/>
    <col min="2" max="2" width="11.7265625" style="3" bestFit="1" customWidth="1"/>
    <col min="3" max="3" width="14.6328125" style="3" bestFit="1" customWidth="1"/>
    <col min="4" max="4" width="20.08984375" style="3" bestFit="1" customWidth="1"/>
    <col min="5" max="5" width="18.6328125" style="3" bestFit="1" customWidth="1"/>
    <col min="6" max="6" width="7.90625" style="3" bestFit="1" customWidth="1"/>
    <col min="7" max="7" width="12.26953125" style="3" bestFit="1" customWidth="1"/>
    <col min="8" max="8" width="11.6328125" style="3" bestFit="1" customWidth="1"/>
    <col min="9" max="9" width="9.1796875" style="3" bestFit="1" customWidth="1"/>
    <col min="10" max="10" width="13.81640625" style="3" bestFit="1" customWidth="1"/>
    <col min="11" max="11" width="23.90625" style="3" bestFit="1" customWidth="1"/>
    <col min="12" max="12" width="55.7265625" style="5" customWidth="1"/>
    <col min="13" max="16384" width="8.7265625" style="3"/>
  </cols>
  <sheetData>
    <row r="1" spans="1:12" x14ac:dyDescent="0.3">
      <c r="A1" s="15" t="s">
        <v>135</v>
      </c>
      <c r="L1" s="16" t="s">
        <v>136</v>
      </c>
    </row>
    <row r="2" spans="1:12" ht="26" x14ac:dyDescent="0.3">
      <c r="A2" s="7" t="s">
        <v>0</v>
      </c>
      <c r="B2" s="7" t="s">
        <v>1</v>
      </c>
      <c r="C2" s="12" t="s">
        <v>128</v>
      </c>
      <c r="D2" s="7" t="s">
        <v>2</v>
      </c>
      <c r="E2" s="7" t="s">
        <v>3</v>
      </c>
      <c r="F2" s="7" t="s">
        <v>4</v>
      </c>
      <c r="G2" s="7" t="s">
        <v>5</v>
      </c>
      <c r="H2" s="7" t="s">
        <v>6</v>
      </c>
      <c r="I2" s="12" t="s">
        <v>114</v>
      </c>
      <c r="J2" s="7" t="s">
        <v>7</v>
      </c>
      <c r="K2" s="12" t="s">
        <v>163</v>
      </c>
      <c r="L2" s="12" t="s">
        <v>162</v>
      </c>
    </row>
    <row r="3" spans="1:12" x14ac:dyDescent="0.3">
      <c r="A3" s="8" t="s">
        <v>39</v>
      </c>
      <c r="B3" s="8" t="s">
        <v>40</v>
      </c>
      <c r="C3" s="8" t="s">
        <v>41</v>
      </c>
      <c r="D3" s="8" t="s">
        <v>19</v>
      </c>
      <c r="E3" s="8" t="s">
        <v>21</v>
      </c>
      <c r="F3" s="8"/>
      <c r="G3" s="8" t="s">
        <v>13</v>
      </c>
      <c r="H3" s="8" t="s">
        <v>92</v>
      </c>
      <c r="I3" s="9">
        <v>1577</v>
      </c>
      <c r="J3" s="9"/>
      <c r="K3" s="9">
        <v>1577</v>
      </c>
      <c r="L3" s="1" t="s">
        <v>350</v>
      </c>
    </row>
    <row r="4" spans="1:12" x14ac:dyDescent="0.3">
      <c r="A4" s="8" t="s">
        <v>80</v>
      </c>
      <c r="B4" s="8" t="s">
        <v>40</v>
      </c>
      <c r="C4" s="8" t="s">
        <v>81</v>
      </c>
      <c r="D4" s="8" t="s">
        <v>19</v>
      </c>
      <c r="E4" s="8" t="s">
        <v>21</v>
      </c>
      <c r="F4" s="8"/>
      <c r="G4" s="8" t="s">
        <v>13</v>
      </c>
      <c r="H4" s="8" t="s">
        <v>92</v>
      </c>
      <c r="I4" s="9">
        <v>1359</v>
      </c>
      <c r="J4" s="9"/>
      <c r="K4" s="9">
        <v>1359</v>
      </c>
      <c r="L4" s="1" t="s">
        <v>351</v>
      </c>
    </row>
    <row r="5" spans="1:12" ht="234" x14ac:dyDescent="0.3">
      <c r="A5" s="8" t="s">
        <v>34</v>
      </c>
      <c r="B5" s="8" t="s">
        <v>17</v>
      </c>
      <c r="C5" s="8" t="s">
        <v>35</v>
      </c>
      <c r="D5" s="8" t="s">
        <v>19</v>
      </c>
      <c r="E5" s="8" t="s">
        <v>91</v>
      </c>
      <c r="F5" s="8"/>
      <c r="G5" s="8" t="s">
        <v>13</v>
      </c>
      <c r="H5" s="8" t="s">
        <v>92</v>
      </c>
      <c r="I5" s="9">
        <v>243875</v>
      </c>
      <c r="J5" s="9">
        <v>469222</v>
      </c>
      <c r="K5" s="9">
        <v>713097</v>
      </c>
      <c r="L5" s="6" t="s">
        <v>137</v>
      </c>
    </row>
    <row r="6" spans="1:12" ht="39" x14ac:dyDescent="0.3">
      <c r="A6" s="8" t="s">
        <v>48</v>
      </c>
      <c r="B6" s="8" t="s">
        <v>17</v>
      </c>
      <c r="C6" s="8" t="s">
        <v>10</v>
      </c>
      <c r="D6" s="8" t="s">
        <v>19</v>
      </c>
      <c r="E6" s="8" t="s">
        <v>93</v>
      </c>
      <c r="F6" s="8"/>
      <c r="G6" s="8" t="s">
        <v>13</v>
      </c>
      <c r="H6" s="8" t="s">
        <v>92</v>
      </c>
      <c r="I6" s="9">
        <v>0.1</v>
      </c>
      <c r="J6" s="9">
        <v>11000</v>
      </c>
      <c r="K6" s="9">
        <v>11000.1</v>
      </c>
      <c r="L6" s="10" t="s">
        <v>134</v>
      </c>
    </row>
    <row r="7" spans="1:12" x14ac:dyDescent="0.3">
      <c r="I7" s="4">
        <f>SUBTOTAL(109,Table112[Esialgne eelarve])</f>
        <v>246811.1</v>
      </c>
      <c r="J7" s="4">
        <f>SUBTOTAL(109,Table112[Muudatused])</f>
        <v>480222</v>
      </c>
      <c r="K7" s="4">
        <f>SUBTOTAL(109,Table112[Muudetud eelarve])</f>
        <v>727033.1</v>
      </c>
    </row>
    <row r="12" spans="1:12" x14ac:dyDescent="0.3">
      <c r="J12" s="17"/>
      <c r="K12" s="4"/>
    </row>
    <row r="13" spans="1:12" x14ac:dyDescent="0.3">
      <c r="J13" s="4"/>
    </row>
    <row r="17" spans="11:11" x14ac:dyDescent="0.3">
      <c r="K17" s="4"/>
    </row>
    <row r="18" spans="11:11" x14ac:dyDescent="0.3">
      <c r="K18" s="4"/>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19108-CAA0-40D9-B7E0-503E1221BB95}">
  <sheetPr>
    <tabColor rgb="FF92D050"/>
  </sheetPr>
  <dimension ref="A1:L18"/>
  <sheetViews>
    <sheetView topLeftCell="A5" workbookViewId="0">
      <selection activeCell="K2" sqref="K2"/>
    </sheetView>
  </sheetViews>
  <sheetFormatPr defaultRowHeight="13" x14ac:dyDescent="0.3"/>
  <cols>
    <col min="1" max="1" width="21.6328125" style="3" bestFit="1" customWidth="1"/>
    <col min="2" max="2" width="11.7265625" style="3" bestFit="1" customWidth="1"/>
    <col min="3" max="3" width="14.6328125" style="3" bestFit="1" customWidth="1"/>
    <col min="4" max="4" width="20.08984375" style="3" bestFit="1" customWidth="1"/>
    <col min="5" max="5" width="21.54296875" style="3" bestFit="1" customWidth="1"/>
    <col min="6" max="6" width="7.90625" style="3" bestFit="1" customWidth="1"/>
    <col min="7" max="7" width="12.26953125" style="3" bestFit="1" customWidth="1"/>
    <col min="8" max="8" width="11.6328125" style="3" bestFit="1" customWidth="1"/>
    <col min="9" max="9" width="9.1796875" style="3" bestFit="1" customWidth="1"/>
    <col min="10" max="10" width="11.90625" style="3" customWidth="1"/>
    <col min="11" max="11" width="10.26953125" style="3" customWidth="1"/>
    <col min="12" max="12" width="47.90625" style="5" customWidth="1"/>
    <col min="13" max="16384" width="8.7265625" style="3"/>
  </cols>
  <sheetData>
    <row r="1" spans="1:12" x14ac:dyDescent="0.3">
      <c r="A1" s="15" t="s">
        <v>154</v>
      </c>
      <c r="L1" s="16" t="s">
        <v>155</v>
      </c>
    </row>
    <row r="2" spans="1:12" ht="26" x14ac:dyDescent="0.3">
      <c r="A2" s="7" t="s">
        <v>0</v>
      </c>
      <c r="B2" s="7" t="s">
        <v>1</v>
      </c>
      <c r="C2" s="12" t="s">
        <v>128</v>
      </c>
      <c r="D2" s="7" t="s">
        <v>2</v>
      </c>
      <c r="E2" s="7" t="s">
        <v>3</v>
      </c>
      <c r="F2" s="7" t="s">
        <v>4</v>
      </c>
      <c r="G2" s="7" t="s">
        <v>5</v>
      </c>
      <c r="H2" s="7" t="s">
        <v>6</v>
      </c>
      <c r="I2" s="12" t="s">
        <v>114</v>
      </c>
      <c r="J2" s="7" t="s">
        <v>7</v>
      </c>
      <c r="K2" s="12" t="s">
        <v>163</v>
      </c>
      <c r="L2" s="12" t="s">
        <v>162</v>
      </c>
    </row>
    <row r="3" spans="1:12" x14ac:dyDescent="0.3">
      <c r="A3" s="8" t="s">
        <v>42</v>
      </c>
      <c r="B3" s="8" t="s">
        <v>40</v>
      </c>
      <c r="C3" s="8" t="s">
        <v>43</v>
      </c>
      <c r="D3" s="8" t="s">
        <v>19</v>
      </c>
      <c r="E3" s="8" t="s">
        <v>21</v>
      </c>
      <c r="F3" s="8"/>
      <c r="G3" s="8" t="s">
        <v>13</v>
      </c>
      <c r="H3" s="8" t="s">
        <v>102</v>
      </c>
      <c r="I3" s="9">
        <v>943</v>
      </c>
      <c r="J3" s="9"/>
      <c r="K3" s="9">
        <v>943</v>
      </c>
      <c r="L3" s="21" t="s">
        <v>147</v>
      </c>
    </row>
    <row r="4" spans="1:12" x14ac:dyDescent="0.3">
      <c r="A4" s="8" t="s">
        <v>39</v>
      </c>
      <c r="B4" s="8" t="s">
        <v>40</v>
      </c>
      <c r="C4" s="8" t="s">
        <v>41</v>
      </c>
      <c r="D4" s="8" t="s">
        <v>19</v>
      </c>
      <c r="E4" s="8" t="s">
        <v>21</v>
      </c>
      <c r="F4" s="8"/>
      <c r="G4" s="8" t="s">
        <v>13</v>
      </c>
      <c r="H4" s="8" t="s">
        <v>102</v>
      </c>
      <c r="I4" s="9">
        <v>616</v>
      </c>
      <c r="J4" s="9"/>
      <c r="K4" s="9">
        <v>616</v>
      </c>
      <c r="L4" s="21" t="s">
        <v>147</v>
      </c>
    </row>
    <row r="5" spans="1:12" ht="91" x14ac:dyDescent="0.3">
      <c r="A5" s="6" t="s">
        <v>144</v>
      </c>
      <c r="B5" s="8" t="s">
        <v>17</v>
      </c>
      <c r="C5" s="8" t="s">
        <v>43</v>
      </c>
      <c r="D5" s="8" t="s">
        <v>19</v>
      </c>
      <c r="E5" s="8" t="s">
        <v>99</v>
      </c>
      <c r="F5" s="8"/>
      <c r="G5" s="8" t="s">
        <v>13</v>
      </c>
      <c r="H5" s="8" t="s">
        <v>73</v>
      </c>
      <c r="I5" s="9">
        <v>2500</v>
      </c>
      <c r="J5" s="9">
        <v>49227</v>
      </c>
      <c r="K5" s="9">
        <v>51727</v>
      </c>
      <c r="L5" s="10" t="s">
        <v>153</v>
      </c>
    </row>
    <row r="6" spans="1:12" x14ac:dyDescent="0.3">
      <c r="A6" s="8" t="s">
        <v>145</v>
      </c>
      <c r="B6" s="8" t="s">
        <v>17</v>
      </c>
      <c r="C6" s="8" t="s">
        <v>43</v>
      </c>
      <c r="D6" s="8" t="s">
        <v>19</v>
      </c>
      <c r="E6" s="8" t="s">
        <v>96</v>
      </c>
      <c r="F6" s="8"/>
      <c r="G6" s="8" t="s">
        <v>13</v>
      </c>
      <c r="H6" s="8" t="s">
        <v>73</v>
      </c>
      <c r="I6" s="9">
        <v>4284</v>
      </c>
      <c r="J6" s="8"/>
      <c r="K6" s="9">
        <v>4284</v>
      </c>
      <c r="L6" s="10"/>
    </row>
    <row r="7" spans="1:12" ht="39" x14ac:dyDescent="0.3">
      <c r="A7" s="11" t="s">
        <v>146</v>
      </c>
      <c r="B7" s="8" t="s">
        <v>17</v>
      </c>
      <c r="C7" s="8" t="s">
        <v>43</v>
      </c>
      <c r="D7" s="8" t="s">
        <v>19</v>
      </c>
      <c r="E7" s="8" t="s">
        <v>97</v>
      </c>
      <c r="F7" s="8"/>
      <c r="G7" s="8" t="s">
        <v>13</v>
      </c>
      <c r="H7" s="8" t="s">
        <v>73</v>
      </c>
      <c r="I7" s="9">
        <v>3500.1</v>
      </c>
      <c r="J7" s="9">
        <v>1800</v>
      </c>
      <c r="K7" s="9">
        <v>5300.1</v>
      </c>
      <c r="L7" s="18" t="s">
        <v>148</v>
      </c>
    </row>
    <row r="8" spans="1:12" x14ac:dyDescent="0.3">
      <c r="A8" s="8" t="s">
        <v>140</v>
      </c>
      <c r="B8" s="8" t="s">
        <v>17</v>
      </c>
      <c r="C8" s="8" t="s">
        <v>139</v>
      </c>
      <c r="D8" s="8" t="s">
        <v>19</v>
      </c>
      <c r="E8" s="8" t="s">
        <v>98</v>
      </c>
      <c r="F8" s="8"/>
      <c r="G8" s="8" t="s">
        <v>13</v>
      </c>
      <c r="H8" s="8" t="s">
        <v>73</v>
      </c>
      <c r="I8" s="9">
        <v>6000</v>
      </c>
      <c r="J8" s="9"/>
      <c r="K8" s="9">
        <v>6000</v>
      </c>
      <c r="L8" s="1" t="s">
        <v>152</v>
      </c>
    </row>
    <row r="9" spans="1:12" x14ac:dyDescent="0.3">
      <c r="A9" s="6" t="s">
        <v>138</v>
      </c>
      <c r="B9" s="8" t="s">
        <v>17</v>
      </c>
      <c r="C9" s="8" t="s">
        <v>139</v>
      </c>
      <c r="D9" s="8" t="s">
        <v>19</v>
      </c>
      <c r="E9" s="8" t="s">
        <v>94</v>
      </c>
      <c r="F9" s="8"/>
      <c r="G9" s="8" t="s">
        <v>13</v>
      </c>
      <c r="H9" s="8" t="s">
        <v>73</v>
      </c>
      <c r="I9" s="9">
        <v>35000</v>
      </c>
      <c r="J9" s="8"/>
      <c r="K9" s="9">
        <v>35000</v>
      </c>
      <c r="L9" s="10"/>
    </row>
    <row r="10" spans="1:12" x14ac:dyDescent="0.3">
      <c r="A10" s="6" t="s">
        <v>142</v>
      </c>
      <c r="B10" s="8" t="s">
        <v>17</v>
      </c>
      <c r="C10" s="8" t="s">
        <v>43</v>
      </c>
      <c r="D10" s="8" t="s">
        <v>19</v>
      </c>
      <c r="E10" s="8" t="s">
        <v>103</v>
      </c>
      <c r="F10" s="8"/>
      <c r="G10" s="8" t="s">
        <v>13</v>
      </c>
      <c r="H10" s="8" t="s">
        <v>73</v>
      </c>
      <c r="I10" s="9">
        <v>500</v>
      </c>
      <c r="J10" s="9"/>
      <c r="K10" s="9">
        <v>500</v>
      </c>
      <c r="L10" s="1" t="s">
        <v>151</v>
      </c>
    </row>
    <row r="11" spans="1:12" x14ac:dyDescent="0.3">
      <c r="A11" s="8" t="s">
        <v>80</v>
      </c>
      <c r="B11" s="8" t="s">
        <v>17</v>
      </c>
      <c r="C11" s="8" t="s">
        <v>81</v>
      </c>
      <c r="D11" s="8" t="s">
        <v>19</v>
      </c>
      <c r="E11" s="8" t="s">
        <v>101</v>
      </c>
      <c r="F11" s="8"/>
      <c r="G11" s="8" t="s">
        <v>13</v>
      </c>
      <c r="H11" s="8" t="s">
        <v>73</v>
      </c>
      <c r="I11" s="9">
        <v>1000</v>
      </c>
      <c r="J11" s="9"/>
      <c r="K11" s="9">
        <v>1000</v>
      </c>
      <c r="L11" s="1" t="s">
        <v>150</v>
      </c>
    </row>
    <row r="12" spans="1:12" x14ac:dyDescent="0.3">
      <c r="A12" s="11" t="s">
        <v>143</v>
      </c>
      <c r="B12" s="8" t="s">
        <v>17</v>
      </c>
      <c r="C12" s="8" t="s">
        <v>139</v>
      </c>
      <c r="D12" s="8" t="s">
        <v>19</v>
      </c>
      <c r="E12" s="8" t="s">
        <v>95</v>
      </c>
      <c r="F12" s="8"/>
      <c r="G12" s="8" t="s">
        <v>13</v>
      </c>
      <c r="H12" s="8" t="s">
        <v>73</v>
      </c>
      <c r="I12" s="9">
        <v>14000</v>
      </c>
      <c r="J12" s="8"/>
      <c r="K12" s="9">
        <v>14000</v>
      </c>
      <c r="L12" s="19" t="s">
        <v>149</v>
      </c>
    </row>
    <row r="13" spans="1:12" x14ac:dyDescent="0.3">
      <c r="A13" s="8" t="s">
        <v>141</v>
      </c>
      <c r="B13" s="8" t="s">
        <v>17</v>
      </c>
      <c r="C13" s="8" t="s">
        <v>43</v>
      </c>
      <c r="D13" s="8" t="s">
        <v>19</v>
      </c>
      <c r="E13" s="8" t="s">
        <v>100</v>
      </c>
      <c r="F13" s="8"/>
      <c r="G13" s="8" t="s">
        <v>13</v>
      </c>
      <c r="H13" s="8" t="s">
        <v>73</v>
      </c>
      <c r="I13" s="9">
        <v>2500</v>
      </c>
      <c r="J13" s="9"/>
      <c r="K13" s="9">
        <v>2500</v>
      </c>
      <c r="L13" s="10"/>
    </row>
    <row r="14" spans="1:12" x14ac:dyDescent="0.3">
      <c r="A14" s="8" t="s">
        <v>48</v>
      </c>
      <c r="B14" s="8" t="s">
        <v>17</v>
      </c>
      <c r="C14" s="8" t="s">
        <v>10</v>
      </c>
      <c r="D14" s="8" t="s">
        <v>19</v>
      </c>
      <c r="E14" s="8" t="s">
        <v>104</v>
      </c>
      <c r="F14" s="8"/>
      <c r="G14" s="8" t="s">
        <v>13</v>
      </c>
      <c r="H14" s="8" t="s">
        <v>102</v>
      </c>
      <c r="I14" s="9">
        <v>0.1</v>
      </c>
      <c r="J14" s="9">
        <v>7800</v>
      </c>
      <c r="K14" s="9">
        <v>7800.1</v>
      </c>
      <c r="L14" s="20" t="s">
        <v>125</v>
      </c>
    </row>
    <row r="15" spans="1:12" x14ac:dyDescent="0.3">
      <c r="I15" s="4">
        <f>SUBTOTAL(109,Table114[Esialgne eelarve])</f>
        <v>70843.200000000012</v>
      </c>
      <c r="J15" s="4">
        <f>SUBTOTAL(109,Table114[Muudatused])</f>
        <v>58827</v>
      </c>
      <c r="K15" s="4">
        <f>SUBTOTAL(109,Table114[Muudetud eelarve])</f>
        <v>129670.20000000001</v>
      </c>
    </row>
    <row r="18" spans="9:9" x14ac:dyDescent="0.3">
      <c r="I18" s="4"/>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5AA64-AE8D-4ED5-ABF0-1F7D43A80FBF}">
  <sheetPr>
    <tabColor rgb="FF92D050"/>
  </sheetPr>
  <dimension ref="A1:L10"/>
  <sheetViews>
    <sheetView workbookViewId="0">
      <selection activeCell="L13" sqref="L13"/>
    </sheetView>
  </sheetViews>
  <sheetFormatPr defaultColWidth="9.08984375" defaultRowHeight="13" x14ac:dyDescent="0.3"/>
  <cols>
    <col min="1" max="1" width="14.90625" style="3" customWidth="1"/>
    <col min="2" max="2" width="12.1796875" style="3" bestFit="1" customWidth="1"/>
    <col min="3" max="3" width="11.08984375" style="3" customWidth="1"/>
    <col min="4" max="4" width="10.453125" style="3" customWidth="1"/>
    <col min="5" max="5" width="16.6328125" style="3" bestFit="1" customWidth="1"/>
    <col min="6" max="6" width="20" style="3" bestFit="1" customWidth="1"/>
    <col min="7" max="7" width="12.26953125" style="3" bestFit="1" customWidth="1"/>
    <col min="8" max="8" width="11.6328125" style="3" bestFit="1" customWidth="1"/>
    <col min="9" max="9" width="9.1796875" style="3" bestFit="1" customWidth="1"/>
    <col min="10" max="11" width="10.08984375" style="3" customWidth="1"/>
    <col min="12" max="12" width="40.1796875" style="5" customWidth="1"/>
    <col min="13" max="16384" width="9.08984375" style="3"/>
  </cols>
  <sheetData>
    <row r="1" spans="1:12" x14ac:dyDescent="0.3">
      <c r="A1" s="15" t="s">
        <v>158</v>
      </c>
      <c r="L1" s="16" t="s">
        <v>159</v>
      </c>
    </row>
    <row r="2" spans="1:12" ht="26" x14ac:dyDescent="0.3">
      <c r="A2" s="7" t="s">
        <v>0</v>
      </c>
      <c r="B2" s="7" t="s">
        <v>1</v>
      </c>
      <c r="C2" s="12" t="s">
        <v>128</v>
      </c>
      <c r="D2" s="12" t="s">
        <v>2</v>
      </c>
      <c r="E2" s="7" t="s">
        <v>3</v>
      </c>
      <c r="F2" s="7" t="s">
        <v>4</v>
      </c>
      <c r="G2" s="7" t="s">
        <v>5</v>
      </c>
      <c r="H2" s="7" t="s">
        <v>6</v>
      </c>
      <c r="I2" s="12" t="s">
        <v>114</v>
      </c>
      <c r="J2" s="7" t="s">
        <v>7</v>
      </c>
      <c r="K2" s="12" t="s">
        <v>163</v>
      </c>
      <c r="L2" s="12" t="s">
        <v>162</v>
      </c>
    </row>
    <row r="3" spans="1:12" x14ac:dyDescent="0.3">
      <c r="A3" s="8" t="s">
        <v>42</v>
      </c>
      <c r="B3" s="8" t="s">
        <v>40</v>
      </c>
      <c r="C3" s="8" t="s">
        <v>43</v>
      </c>
      <c r="D3" s="8" t="s">
        <v>19</v>
      </c>
      <c r="E3" s="8"/>
      <c r="F3" s="8" t="s">
        <v>21</v>
      </c>
      <c r="G3" s="8" t="s">
        <v>13</v>
      </c>
      <c r="H3" s="8" t="s">
        <v>106</v>
      </c>
      <c r="I3" s="9">
        <v>1481</v>
      </c>
      <c r="J3" s="8"/>
      <c r="K3" s="9">
        <v>1481</v>
      </c>
      <c r="L3" s="24" t="s">
        <v>124</v>
      </c>
    </row>
    <row r="4" spans="1:12" x14ac:dyDescent="0.3">
      <c r="A4" s="8" t="s">
        <v>39</v>
      </c>
      <c r="B4" s="8" t="s">
        <v>40</v>
      </c>
      <c r="C4" s="8" t="s">
        <v>41</v>
      </c>
      <c r="D4" s="8" t="s">
        <v>19</v>
      </c>
      <c r="E4" s="8"/>
      <c r="F4" s="8" t="s">
        <v>21</v>
      </c>
      <c r="G4" s="8" t="s">
        <v>13</v>
      </c>
      <c r="H4" s="8" t="s">
        <v>106</v>
      </c>
      <c r="I4" s="9">
        <v>880</v>
      </c>
      <c r="J4" s="8"/>
      <c r="K4" s="9">
        <v>880</v>
      </c>
      <c r="L4" s="24" t="s">
        <v>147</v>
      </c>
    </row>
    <row r="5" spans="1:12" x14ac:dyDescent="0.3">
      <c r="A5" s="8" t="s">
        <v>48</v>
      </c>
      <c r="B5" s="8" t="s">
        <v>17</v>
      </c>
      <c r="C5" s="8" t="s">
        <v>10</v>
      </c>
      <c r="D5" s="8" t="s">
        <v>19</v>
      </c>
      <c r="E5" s="8" t="s">
        <v>108</v>
      </c>
      <c r="F5" s="8" t="s">
        <v>21</v>
      </c>
      <c r="G5" s="8" t="s">
        <v>13</v>
      </c>
      <c r="H5" s="8" t="s">
        <v>106</v>
      </c>
      <c r="I5" s="9">
        <v>0.1</v>
      </c>
      <c r="J5" s="9">
        <v>11200</v>
      </c>
      <c r="K5" s="9">
        <v>11200.1</v>
      </c>
      <c r="L5" s="24" t="s">
        <v>125</v>
      </c>
    </row>
    <row r="6" spans="1:12" x14ac:dyDescent="0.3">
      <c r="A6" s="8" t="s">
        <v>64</v>
      </c>
      <c r="B6" s="8" t="s">
        <v>9</v>
      </c>
      <c r="C6" s="8" t="s">
        <v>51</v>
      </c>
      <c r="D6" s="8" t="s">
        <v>11</v>
      </c>
      <c r="E6" s="8"/>
      <c r="F6" s="8" t="s">
        <v>105</v>
      </c>
      <c r="G6" s="8" t="s">
        <v>63</v>
      </c>
      <c r="H6" s="8" t="s">
        <v>106</v>
      </c>
      <c r="I6" s="9">
        <v>575000</v>
      </c>
      <c r="J6" s="8"/>
      <c r="K6" s="9">
        <v>575000</v>
      </c>
      <c r="L6" s="22" t="s">
        <v>157</v>
      </c>
    </row>
    <row r="7" spans="1:12" x14ac:dyDescent="0.3">
      <c r="A7" s="8" t="s">
        <v>8</v>
      </c>
      <c r="B7" s="8" t="s">
        <v>9</v>
      </c>
      <c r="C7" s="8" t="s">
        <v>10</v>
      </c>
      <c r="D7" s="8" t="s">
        <v>11</v>
      </c>
      <c r="E7" s="8"/>
      <c r="F7" s="8" t="s">
        <v>105</v>
      </c>
      <c r="G7" s="8" t="s">
        <v>63</v>
      </c>
      <c r="H7" s="8" t="s">
        <v>106</v>
      </c>
      <c r="I7" s="9">
        <v>74750</v>
      </c>
      <c r="J7" s="8"/>
      <c r="K7" s="9">
        <v>74750</v>
      </c>
      <c r="L7" s="22" t="s">
        <v>157</v>
      </c>
    </row>
    <row r="8" spans="1:12" x14ac:dyDescent="0.3">
      <c r="A8" s="8" t="s">
        <v>34</v>
      </c>
      <c r="B8" s="8" t="s">
        <v>9</v>
      </c>
      <c r="C8" s="8" t="s">
        <v>35</v>
      </c>
      <c r="D8" s="8" t="s">
        <v>11</v>
      </c>
      <c r="E8" s="8"/>
      <c r="F8" s="8" t="s">
        <v>105</v>
      </c>
      <c r="G8" s="8" t="s">
        <v>63</v>
      </c>
      <c r="H8" s="8" t="s">
        <v>106</v>
      </c>
      <c r="I8" s="9">
        <v>24590</v>
      </c>
      <c r="J8" s="8"/>
      <c r="K8" s="9">
        <v>24590</v>
      </c>
      <c r="L8" s="22" t="s">
        <v>157</v>
      </c>
    </row>
    <row r="9" spans="1:12" ht="26" x14ac:dyDescent="0.3">
      <c r="A9" s="8" t="s">
        <v>42</v>
      </c>
      <c r="B9" s="8" t="s">
        <v>9</v>
      </c>
      <c r="C9" s="8" t="s">
        <v>43</v>
      </c>
      <c r="D9" s="8" t="s">
        <v>11</v>
      </c>
      <c r="E9" s="8"/>
      <c r="F9" s="8" t="s">
        <v>107</v>
      </c>
      <c r="G9" s="8" t="s">
        <v>13</v>
      </c>
      <c r="H9" s="8" t="s">
        <v>106</v>
      </c>
      <c r="I9" s="9">
        <v>8500</v>
      </c>
      <c r="J9" s="8">
        <v>3500</v>
      </c>
      <c r="K9" s="9">
        <v>12000</v>
      </c>
      <c r="L9" s="23" t="s">
        <v>156</v>
      </c>
    </row>
    <row r="10" spans="1:12" x14ac:dyDescent="0.3">
      <c r="I10" s="4">
        <f>SUBTOTAL(109,Table115[Esialgne eelarve])</f>
        <v>685201.1</v>
      </c>
      <c r="J10" s="4">
        <f>SUBTOTAL(109,Table115[Muudatused])</f>
        <v>14700</v>
      </c>
      <c r="K10" s="4">
        <f>SUBTOTAL(109,Table115[Muudetud eelarve])</f>
        <v>699901.1</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B77E6-D798-4015-8184-4A1E1865B4DE}">
  <sheetPr>
    <tabColor rgb="FF92D050"/>
  </sheetPr>
  <dimension ref="A1:L7"/>
  <sheetViews>
    <sheetView workbookViewId="0">
      <selection activeCell="A2" sqref="A2"/>
    </sheetView>
  </sheetViews>
  <sheetFormatPr defaultRowHeight="13" x14ac:dyDescent="0.3"/>
  <cols>
    <col min="1" max="1" width="19.36328125" style="3" bestFit="1" customWidth="1"/>
    <col min="2" max="2" width="11.7265625" style="3" bestFit="1" customWidth="1"/>
    <col min="3" max="3" width="14.6328125" style="3" bestFit="1" customWidth="1"/>
    <col min="4" max="4" width="20.08984375" style="3" bestFit="1" customWidth="1"/>
    <col min="5" max="5" width="21.26953125" style="3" bestFit="1" customWidth="1"/>
    <col min="6" max="6" width="7.90625" style="3" bestFit="1" customWidth="1"/>
    <col min="7" max="7" width="12.26953125" style="3" bestFit="1" customWidth="1"/>
    <col min="8" max="8" width="11.6328125" style="3" bestFit="1" customWidth="1"/>
    <col min="9" max="9" width="9.1796875" style="3" bestFit="1" customWidth="1"/>
    <col min="10" max="11" width="10.54296875" style="3" customWidth="1"/>
    <col min="12" max="12" width="32.54296875" style="5" customWidth="1"/>
    <col min="13" max="16384" width="8.7265625" style="3"/>
  </cols>
  <sheetData>
    <row r="1" spans="1:12" x14ac:dyDescent="0.3">
      <c r="A1" s="15" t="s">
        <v>160</v>
      </c>
      <c r="L1" s="16" t="s">
        <v>161</v>
      </c>
    </row>
    <row r="2" spans="1:12" ht="26" x14ac:dyDescent="0.3">
      <c r="A2" s="12" t="s">
        <v>0</v>
      </c>
      <c r="B2" s="12" t="s">
        <v>1</v>
      </c>
      <c r="C2" s="12" t="s">
        <v>128</v>
      </c>
      <c r="D2" s="12" t="s">
        <v>2</v>
      </c>
      <c r="E2" s="12" t="s">
        <v>3</v>
      </c>
      <c r="F2" s="12" t="s">
        <v>4</v>
      </c>
      <c r="G2" s="12" t="s">
        <v>5</v>
      </c>
      <c r="H2" s="12" t="s">
        <v>6</v>
      </c>
      <c r="I2" s="12" t="s">
        <v>114</v>
      </c>
      <c r="J2" s="12" t="s">
        <v>7</v>
      </c>
      <c r="K2" s="12" t="s">
        <v>163</v>
      </c>
      <c r="L2" s="12" t="s">
        <v>162</v>
      </c>
    </row>
    <row r="3" spans="1:12" ht="26" x14ac:dyDescent="0.3">
      <c r="A3" s="8" t="s">
        <v>80</v>
      </c>
      <c r="B3" s="8" t="s">
        <v>40</v>
      </c>
      <c r="C3" s="8" t="s">
        <v>81</v>
      </c>
      <c r="D3" s="8" t="s">
        <v>19</v>
      </c>
      <c r="E3" s="8" t="s">
        <v>21</v>
      </c>
      <c r="F3" s="8"/>
      <c r="G3" s="8" t="s">
        <v>13</v>
      </c>
      <c r="H3" s="8" t="s">
        <v>110</v>
      </c>
      <c r="I3" s="9">
        <v>812</v>
      </c>
      <c r="J3" s="8"/>
      <c r="K3" s="9">
        <v>812</v>
      </c>
      <c r="L3" s="1" t="s">
        <v>350</v>
      </c>
    </row>
    <row r="4" spans="1:12" x14ac:dyDescent="0.3">
      <c r="A4" s="8" t="s">
        <v>39</v>
      </c>
      <c r="B4" s="8" t="s">
        <v>40</v>
      </c>
      <c r="C4" s="8" t="s">
        <v>41</v>
      </c>
      <c r="D4" s="8" t="s">
        <v>19</v>
      </c>
      <c r="E4" s="8" t="s">
        <v>21</v>
      </c>
      <c r="F4" s="8"/>
      <c r="G4" s="8" t="s">
        <v>13</v>
      </c>
      <c r="H4" s="8" t="s">
        <v>110</v>
      </c>
      <c r="I4" s="9">
        <v>473</v>
      </c>
      <c r="J4" s="8"/>
      <c r="K4" s="9">
        <v>473</v>
      </c>
      <c r="L4" s="1" t="s">
        <v>351</v>
      </c>
    </row>
    <row r="5" spans="1:12" x14ac:dyDescent="0.3">
      <c r="A5" s="8" t="s">
        <v>80</v>
      </c>
      <c r="B5" s="8" t="s">
        <v>17</v>
      </c>
      <c r="C5" s="8" t="s">
        <v>81</v>
      </c>
      <c r="D5" s="8" t="s">
        <v>19</v>
      </c>
      <c r="E5" s="8" t="s">
        <v>109</v>
      </c>
      <c r="F5" s="8"/>
      <c r="G5" s="8" t="s">
        <v>13</v>
      </c>
      <c r="H5" s="8" t="s">
        <v>110</v>
      </c>
      <c r="I5" s="9">
        <v>5000</v>
      </c>
      <c r="J5" s="8"/>
      <c r="K5" s="9">
        <v>5000</v>
      </c>
      <c r="L5" s="10"/>
    </row>
    <row r="6" spans="1:12" x14ac:dyDescent="0.3">
      <c r="A6" s="8" t="s">
        <v>48</v>
      </c>
      <c r="B6" s="8" t="s">
        <v>17</v>
      </c>
      <c r="C6" s="8" t="s">
        <v>10</v>
      </c>
      <c r="D6" s="8" t="s">
        <v>19</v>
      </c>
      <c r="E6" s="8" t="s">
        <v>111</v>
      </c>
      <c r="F6" s="8"/>
      <c r="G6" s="8" t="s">
        <v>13</v>
      </c>
      <c r="H6" s="8" t="s">
        <v>110</v>
      </c>
      <c r="I6" s="9">
        <v>0.1</v>
      </c>
      <c r="J6" s="9">
        <v>6600</v>
      </c>
      <c r="K6" s="9">
        <v>6600.1</v>
      </c>
      <c r="L6" s="24" t="s">
        <v>125</v>
      </c>
    </row>
    <row r="7" spans="1:12" x14ac:dyDescent="0.3">
      <c r="I7" s="4">
        <f>SUBTOTAL(109,Table116[Esialgne eelarve])</f>
        <v>6285.1</v>
      </c>
      <c r="J7" s="4">
        <f>SUBTOTAL(109,Table116[Muudatused])</f>
        <v>6600</v>
      </c>
      <c r="K7" s="4">
        <f>SUBTOTAL(109,Table116[Muudetud eelarve])</f>
        <v>12885.1</v>
      </c>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2AC25-C3BA-4B3A-98C3-ECED810068B1}">
  <sheetPr>
    <tabColor rgb="FF92D050"/>
  </sheetPr>
  <dimension ref="A1:L8"/>
  <sheetViews>
    <sheetView workbookViewId="0">
      <selection activeCell="A2" sqref="A2"/>
    </sheetView>
  </sheetViews>
  <sheetFormatPr defaultRowHeight="13" x14ac:dyDescent="0.3"/>
  <cols>
    <col min="1" max="1" width="19.90625" style="3" bestFit="1" customWidth="1"/>
    <col min="2" max="2" width="13.26953125" style="3" bestFit="1" customWidth="1"/>
    <col min="3" max="3" width="12.81640625" style="3" bestFit="1" customWidth="1"/>
    <col min="4" max="4" width="15.453125" style="3" bestFit="1" customWidth="1"/>
    <col min="5" max="5" width="16.90625" style="3" bestFit="1" customWidth="1"/>
    <col min="6" max="6" width="9.7265625" style="3" bestFit="1" customWidth="1"/>
    <col min="7" max="7" width="13.7265625" style="3" bestFit="1" customWidth="1"/>
    <col min="8" max="8" width="13.1796875" style="3" bestFit="1" customWidth="1"/>
    <col min="9" max="9" width="11.54296875" style="3" bestFit="1" customWidth="1"/>
    <col min="10" max="10" width="15.08984375" style="3" bestFit="1" customWidth="1"/>
    <col min="11" max="11" width="13.453125" style="3" bestFit="1" customWidth="1"/>
    <col min="12" max="12" width="43.90625" style="5" bestFit="1" customWidth="1"/>
    <col min="13" max="16384" width="8.7265625" style="3"/>
  </cols>
  <sheetData>
    <row r="1" spans="1:12" x14ac:dyDescent="0.3">
      <c r="A1" s="15" t="s">
        <v>311</v>
      </c>
      <c r="L1" s="16" t="s">
        <v>312</v>
      </c>
    </row>
    <row r="2" spans="1:12" s="25" customFormat="1" ht="26" x14ac:dyDescent="0.35">
      <c r="A2" s="27" t="s">
        <v>0</v>
      </c>
      <c r="B2" s="28" t="s">
        <v>1</v>
      </c>
      <c r="C2" s="28" t="s">
        <v>128</v>
      </c>
      <c r="D2" s="28" t="s">
        <v>2</v>
      </c>
      <c r="E2" s="28" t="s">
        <v>3</v>
      </c>
      <c r="F2" s="28" t="s">
        <v>4</v>
      </c>
      <c r="G2" s="28" t="s">
        <v>5</v>
      </c>
      <c r="H2" s="28" t="s">
        <v>6</v>
      </c>
      <c r="I2" s="28" t="s">
        <v>114</v>
      </c>
      <c r="J2" s="28" t="s">
        <v>7</v>
      </c>
      <c r="K2" s="28" t="s">
        <v>163</v>
      </c>
      <c r="L2" s="29" t="s">
        <v>162</v>
      </c>
    </row>
    <row r="3" spans="1:12" x14ac:dyDescent="0.3">
      <c r="A3" s="30" t="s">
        <v>39</v>
      </c>
      <c r="B3" s="8" t="s">
        <v>40</v>
      </c>
      <c r="C3" s="8" t="s">
        <v>41</v>
      </c>
      <c r="D3" s="8" t="s">
        <v>19</v>
      </c>
      <c r="E3" s="8"/>
      <c r="F3" s="8"/>
      <c r="G3" s="8" t="s">
        <v>13</v>
      </c>
      <c r="H3" s="8" t="s">
        <v>164</v>
      </c>
      <c r="I3" s="9">
        <v>704</v>
      </c>
      <c r="J3" s="8"/>
      <c r="K3" s="9">
        <v>704</v>
      </c>
      <c r="L3" s="24" t="s">
        <v>124</v>
      </c>
    </row>
    <row r="4" spans="1:12" x14ac:dyDescent="0.3">
      <c r="A4" s="30" t="s">
        <v>42</v>
      </c>
      <c r="B4" s="8" t="s">
        <v>40</v>
      </c>
      <c r="C4" s="8" t="s">
        <v>43</v>
      </c>
      <c r="D4" s="8" t="s">
        <v>19</v>
      </c>
      <c r="E4" s="8"/>
      <c r="F4" s="8"/>
      <c r="G4" s="8" t="s">
        <v>13</v>
      </c>
      <c r="H4" s="8" t="s">
        <v>164</v>
      </c>
      <c r="I4" s="9">
        <v>1212</v>
      </c>
      <c r="J4" s="8"/>
      <c r="K4" s="9">
        <v>1212</v>
      </c>
      <c r="L4" s="24" t="s">
        <v>147</v>
      </c>
    </row>
    <row r="5" spans="1:12" ht="39" x14ac:dyDescent="0.3">
      <c r="A5" s="30" t="s">
        <v>305</v>
      </c>
      <c r="B5" s="8" t="s">
        <v>17</v>
      </c>
      <c r="C5" s="35" t="s">
        <v>306</v>
      </c>
      <c r="D5" s="35" t="s">
        <v>19</v>
      </c>
      <c r="E5" s="35" t="s">
        <v>165</v>
      </c>
      <c r="F5" s="35"/>
      <c r="G5" s="35" t="s">
        <v>13</v>
      </c>
      <c r="H5" s="35" t="s">
        <v>164</v>
      </c>
      <c r="I5" s="36">
        <v>0.1</v>
      </c>
      <c r="J5" s="36">
        <v>2100</v>
      </c>
      <c r="K5" s="36">
        <v>2100.1</v>
      </c>
      <c r="L5" s="21" t="s">
        <v>341</v>
      </c>
    </row>
    <row r="6" spans="1:12" x14ac:dyDescent="0.3">
      <c r="A6" s="30" t="s">
        <v>48</v>
      </c>
      <c r="B6" s="8" t="s">
        <v>17</v>
      </c>
      <c r="C6" s="8" t="s">
        <v>10</v>
      </c>
      <c r="D6" s="8" t="s">
        <v>19</v>
      </c>
      <c r="E6" s="8" t="s">
        <v>168</v>
      </c>
      <c r="F6" s="8"/>
      <c r="G6" s="8" t="s">
        <v>13</v>
      </c>
      <c r="H6" s="8" t="s">
        <v>164</v>
      </c>
      <c r="I6" s="9">
        <v>0.1</v>
      </c>
      <c r="J6" s="9">
        <v>9300</v>
      </c>
      <c r="K6" s="9">
        <v>9300.1</v>
      </c>
      <c r="L6" s="24" t="s">
        <v>125</v>
      </c>
    </row>
    <row r="7" spans="1:12" ht="65" x14ac:dyDescent="0.3">
      <c r="A7" s="30" t="s">
        <v>305</v>
      </c>
      <c r="B7" s="8" t="s">
        <v>17</v>
      </c>
      <c r="C7" s="35" t="s">
        <v>306</v>
      </c>
      <c r="D7" s="35" t="s">
        <v>66</v>
      </c>
      <c r="E7" s="35" t="s">
        <v>166</v>
      </c>
      <c r="F7" s="35"/>
      <c r="G7" s="35" t="s">
        <v>13</v>
      </c>
      <c r="H7" s="35" t="s">
        <v>164</v>
      </c>
      <c r="I7" s="36">
        <v>0.1</v>
      </c>
      <c r="J7" s="36">
        <v>35000</v>
      </c>
      <c r="K7" s="36">
        <v>35000</v>
      </c>
      <c r="L7" s="37" t="s">
        <v>342</v>
      </c>
    </row>
    <row r="8" spans="1:12" x14ac:dyDescent="0.3">
      <c r="A8" s="31"/>
      <c r="B8" s="32"/>
      <c r="C8" s="32"/>
      <c r="D8" s="32"/>
      <c r="E8" s="32"/>
      <c r="F8" s="32"/>
      <c r="G8" s="32"/>
      <c r="H8" s="32"/>
      <c r="I8" s="9">
        <f>SUBTOTAL(109,Table14[Esialgne eelarve])</f>
        <v>1916.2999999999997</v>
      </c>
      <c r="J8" s="9">
        <f>SUBTOTAL(109,Table14[Muudatused])</f>
        <v>46400</v>
      </c>
      <c r="K8" s="9">
        <f>SUBTOTAL(109,Table14[Muudetud eelarve])</f>
        <v>48316.2</v>
      </c>
      <c r="L8" s="34"/>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BE52B-2C10-4123-A68F-2CB4848B8634}">
  <sheetPr>
    <tabColor rgb="FF92D050"/>
  </sheetPr>
  <dimension ref="A1:L13"/>
  <sheetViews>
    <sheetView workbookViewId="0">
      <selection activeCell="A2" sqref="A2"/>
    </sheetView>
  </sheetViews>
  <sheetFormatPr defaultRowHeight="13" x14ac:dyDescent="0.3"/>
  <cols>
    <col min="1" max="1" width="19.90625" style="3" bestFit="1" customWidth="1"/>
    <col min="2" max="2" width="13.26953125" style="3" bestFit="1" customWidth="1"/>
    <col min="3" max="3" width="12.81640625" style="3" bestFit="1" customWidth="1"/>
    <col min="4" max="4" width="10.90625" style="3" bestFit="1" customWidth="1"/>
    <col min="5" max="5" width="19.6328125" style="3" bestFit="1" customWidth="1"/>
    <col min="6" max="6" width="9.7265625" style="3" bestFit="1" customWidth="1"/>
    <col min="7" max="7" width="12.81640625" style="3" bestFit="1" customWidth="1"/>
    <col min="8" max="8" width="13.1796875" style="3" bestFit="1" customWidth="1"/>
    <col min="9" max="9" width="11.54296875" style="3" bestFit="1" customWidth="1"/>
    <col min="10" max="10" width="13.1796875" style="3" bestFit="1" customWidth="1"/>
    <col min="11" max="11" width="12.453125" style="3" bestFit="1" customWidth="1"/>
    <col min="12" max="12" width="68.81640625" style="13" bestFit="1" customWidth="1"/>
    <col min="13" max="16384" width="8.7265625" style="3"/>
  </cols>
  <sheetData>
    <row r="1" spans="1:12" x14ac:dyDescent="0.3">
      <c r="A1" s="15" t="s">
        <v>313</v>
      </c>
      <c r="L1" s="14" t="s">
        <v>314</v>
      </c>
    </row>
    <row r="2" spans="1:12" s="25" customFormat="1" ht="39" x14ac:dyDescent="0.35">
      <c r="A2" s="12" t="s">
        <v>0</v>
      </c>
      <c r="B2" s="12" t="s">
        <v>1</v>
      </c>
      <c r="C2" s="12" t="s">
        <v>128</v>
      </c>
      <c r="D2" s="12" t="s">
        <v>2</v>
      </c>
      <c r="E2" s="12" t="s">
        <v>3</v>
      </c>
      <c r="F2" s="12" t="s">
        <v>4</v>
      </c>
      <c r="G2" s="12" t="s">
        <v>5</v>
      </c>
      <c r="H2" s="12" t="s">
        <v>6</v>
      </c>
      <c r="I2" s="12" t="s">
        <v>114</v>
      </c>
      <c r="J2" s="12" t="s">
        <v>7</v>
      </c>
      <c r="K2" s="12" t="s">
        <v>163</v>
      </c>
      <c r="L2" s="12" t="s">
        <v>162</v>
      </c>
    </row>
    <row r="3" spans="1:12" x14ac:dyDescent="0.3">
      <c r="A3" s="8" t="s">
        <v>39</v>
      </c>
      <c r="B3" s="8" t="s">
        <v>40</v>
      </c>
      <c r="C3" s="8" t="s">
        <v>41</v>
      </c>
      <c r="D3" s="8" t="s">
        <v>19</v>
      </c>
      <c r="E3" s="8"/>
      <c r="F3" s="8"/>
      <c r="G3" s="8" t="s">
        <v>13</v>
      </c>
      <c r="H3" s="8" t="s">
        <v>176</v>
      </c>
      <c r="I3" s="9">
        <v>528</v>
      </c>
      <c r="J3" s="8"/>
      <c r="K3" s="9">
        <v>528</v>
      </c>
      <c r="L3" s="24" t="s">
        <v>124</v>
      </c>
    </row>
    <row r="4" spans="1:12" x14ac:dyDescent="0.3">
      <c r="A4" s="8" t="s">
        <v>42</v>
      </c>
      <c r="B4" s="8" t="s">
        <v>40</v>
      </c>
      <c r="C4" s="8" t="s">
        <v>43</v>
      </c>
      <c r="D4" s="8" t="s">
        <v>19</v>
      </c>
      <c r="E4" s="8"/>
      <c r="F4" s="8"/>
      <c r="G4" s="8" t="s">
        <v>13</v>
      </c>
      <c r="H4" s="8" t="s">
        <v>176</v>
      </c>
      <c r="I4" s="9">
        <v>943</v>
      </c>
      <c r="J4" s="8"/>
      <c r="K4" s="9">
        <v>943</v>
      </c>
      <c r="L4" s="24" t="s">
        <v>147</v>
      </c>
    </row>
    <row r="5" spans="1:12" x14ac:dyDescent="0.3">
      <c r="A5" s="8" t="s">
        <v>305</v>
      </c>
      <c r="B5" s="8" t="s">
        <v>17</v>
      </c>
      <c r="C5" s="8" t="s">
        <v>306</v>
      </c>
      <c r="D5" s="8" t="s">
        <v>19</v>
      </c>
      <c r="E5" s="35" t="s">
        <v>180</v>
      </c>
      <c r="F5" s="35"/>
      <c r="G5" s="35" t="s">
        <v>13</v>
      </c>
      <c r="H5" s="35" t="s">
        <v>177</v>
      </c>
      <c r="I5" s="36">
        <v>9300</v>
      </c>
      <c r="J5" s="35"/>
      <c r="K5" s="36">
        <v>9300</v>
      </c>
      <c r="L5" s="48" t="s">
        <v>344</v>
      </c>
    </row>
    <row r="6" spans="1:12" x14ac:dyDescent="0.3">
      <c r="A6" s="8" t="s">
        <v>34</v>
      </c>
      <c r="B6" s="8" t="s">
        <v>17</v>
      </c>
      <c r="C6" s="8" t="s">
        <v>35</v>
      </c>
      <c r="D6" s="8" t="s">
        <v>19</v>
      </c>
      <c r="E6" s="8" t="s">
        <v>181</v>
      </c>
      <c r="F6" s="8"/>
      <c r="G6" s="8" t="s">
        <v>13</v>
      </c>
      <c r="H6" s="8" t="s">
        <v>177</v>
      </c>
      <c r="I6" s="9">
        <v>427</v>
      </c>
      <c r="J6" s="8"/>
      <c r="K6" s="9">
        <v>427</v>
      </c>
      <c r="L6" s="11" t="s">
        <v>21</v>
      </c>
    </row>
    <row r="7" spans="1:12" x14ac:dyDescent="0.3">
      <c r="A7" s="8" t="s">
        <v>305</v>
      </c>
      <c r="B7" s="8" t="s">
        <v>17</v>
      </c>
      <c r="C7" s="8" t="s">
        <v>306</v>
      </c>
      <c r="D7" s="8" t="s">
        <v>19</v>
      </c>
      <c r="E7" s="35" t="s">
        <v>307</v>
      </c>
      <c r="F7" s="35"/>
      <c r="G7" s="35" t="s">
        <v>13</v>
      </c>
      <c r="H7" s="35" t="s">
        <v>177</v>
      </c>
      <c r="I7" s="36">
        <v>79828</v>
      </c>
      <c r="J7" s="35"/>
      <c r="K7" s="36">
        <v>79828</v>
      </c>
      <c r="L7" s="11" t="s">
        <v>21</v>
      </c>
    </row>
    <row r="8" spans="1:12" x14ac:dyDescent="0.3">
      <c r="A8" s="8" t="s">
        <v>183</v>
      </c>
      <c r="B8" s="8" t="s">
        <v>17</v>
      </c>
      <c r="C8" s="8" t="s">
        <v>184</v>
      </c>
      <c r="D8" s="8" t="s">
        <v>19</v>
      </c>
      <c r="E8" s="35" t="s">
        <v>308</v>
      </c>
      <c r="F8" s="35"/>
      <c r="G8" s="35" t="s">
        <v>13</v>
      </c>
      <c r="H8" s="35" t="s">
        <v>177</v>
      </c>
      <c r="I8" s="36">
        <v>11818</v>
      </c>
      <c r="J8" s="35">
        <v>-2787</v>
      </c>
      <c r="K8" s="36">
        <v>9031</v>
      </c>
      <c r="L8" s="47" t="s">
        <v>343</v>
      </c>
    </row>
    <row r="9" spans="1:12" x14ac:dyDescent="0.3">
      <c r="A9" s="8" t="s">
        <v>48</v>
      </c>
      <c r="B9" s="8" t="s">
        <v>17</v>
      </c>
      <c r="C9" s="8" t="s">
        <v>10</v>
      </c>
      <c r="D9" s="8" t="s">
        <v>19</v>
      </c>
      <c r="E9" s="8" t="s">
        <v>187</v>
      </c>
      <c r="F9" s="8"/>
      <c r="G9" s="8" t="s">
        <v>13</v>
      </c>
      <c r="H9" s="8" t="s">
        <v>176</v>
      </c>
      <c r="I9" s="9">
        <v>0.1</v>
      </c>
      <c r="J9" s="9">
        <v>7150</v>
      </c>
      <c r="K9" s="9">
        <v>7150.1</v>
      </c>
      <c r="L9" s="24" t="s">
        <v>125</v>
      </c>
    </row>
    <row r="10" spans="1:12" x14ac:dyDescent="0.3">
      <c r="A10" s="8" t="s">
        <v>305</v>
      </c>
      <c r="B10" s="8" t="s">
        <v>17</v>
      </c>
      <c r="C10" s="8" t="s">
        <v>306</v>
      </c>
      <c r="D10" s="8" t="s">
        <v>19</v>
      </c>
      <c r="E10" s="35" t="s">
        <v>178</v>
      </c>
      <c r="F10" s="35"/>
      <c r="G10" s="35" t="s">
        <v>13</v>
      </c>
      <c r="H10" s="35" t="s">
        <v>177</v>
      </c>
      <c r="I10" s="36">
        <v>3683</v>
      </c>
      <c r="J10" s="35"/>
      <c r="K10" s="36">
        <v>3683</v>
      </c>
      <c r="L10" s="11" t="s">
        <v>21</v>
      </c>
    </row>
    <row r="11" spans="1:12" x14ac:dyDescent="0.3">
      <c r="A11" s="8" t="s">
        <v>185</v>
      </c>
      <c r="B11" s="8" t="s">
        <v>17</v>
      </c>
      <c r="C11" s="8" t="s">
        <v>186</v>
      </c>
      <c r="D11" s="8" t="s">
        <v>19</v>
      </c>
      <c r="E11" s="35" t="s">
        <v>182</v>
      </c>
      <c r="F11" s="35"/>
      <c r="G11" s="35" t="s">
        <v>13</v>
      </c>
      <c r="H11" s="35" t="s">
        <v>177</v>
      </c>
      <c r="I11" s="36">
        <v>48000</v>
      </c>
      <c r="J11" s="36"/>
      <c r="K11" s="36">
        <v>48000</v>
      </c>
      <c r="L11" s="47" t="s">
        <v>345</v>
      </c>
    </row>
    <row r="12" spans="1:12" x14ac:dyDescent="0.3">
      <c r="A12" s="8" t="s">
        <v>305</v>
      </c>
      <c r="B12" s="8" t="s">
        <v>17</v>
      </c>
      <c r="C12" s="8" t="s">
        <v>306</v>
      </c>
      <c r="D12" s="8" t="s">
        <v>19</v>
      </c>
      <c r="E12" s="35" t="s">
        <v>179</v>
      </c>
      <c r="F12" s="35"/>
      <c r="G12" s="35" t="s">
        <v>13</v>
      </c>
      <c r="H12" s="35" t="s">
        <v>177</v>
      </c>
      <c r="I12" s="36">
        <v>14317</v>
      </c>
      <c r="J12" s="35"/>
      <c r="K12" s="36">
        <v>14317</v>
      </c>
      <c r="L12" s="11" t="s">
        <v>21</v>
      </c>
    </row>
    <row r="13" spans="1:12" x14ac:dyDescent="0.3">
      <c r="I13" s="4">
        <f>SUBTOTAL(109,Table19[Esialgne eelarve])</f>
        <v>168844.1</v>
      </c>
      <c r="J13" s="4">
        <f>SUBTOTAL(109,Table19[Muudatused])</f>
        <v>4363</v>
      </c>
      <c r="K13" s="4">
        <f>SUBTOTAL(109,Table19[Muudetud eelarve])</f>
        <v>173207.1</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DTO</vt:lpstr>
      <vt:lpstr>EKO</vt:lpstr>
      <vt:lpstr>ELVO</vt:lpstr>
      <vt:lpstr>kantsler</vt:lpstr>
      <vt:lpstr>KO</vt:lpstr>
      <vt:lpstr>KSO</vt:lpstr>
      <vt:lpstr>KEA</vt:lpstr>
      <vt:lpstr>KVO</vt:lpstr>
      <vt:lpstr>PO</vt:lpstr>
      <vt:lpstr>PRO</vt:lpstr>
      <vt:lpstr>RHO</vt:lpstr>
      <vt:lpstr>RTO</vt:lpstr>
      <vt:lpstr>SAO</vt:lpstr>
      <vt:lpstr>SAK</vt:lpstr>
      <vt:lpstr>SJO</vt:lpstr>
      <vt:lpstr>SM</vt:lpstr>
      <vt:lpstr>STAO</vt:lpstr>
      <vt:lpstr>UKO</vt:lpstr>
      <vt:lpstr>VAK</vt:lpstr>
      <vt:lpstr>VHO</vt:lpstr>
      <vt:lpstr>VVO</vt:lpstr>
      <vt:lpstr>ÕO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Power BI</dc:creator>
  <cp:lastModifiedBy>Maia Podhodjaštševa</cp:lastModifiedBy>
  <dcterms:created xsi:type="dcterms:W3CDTF">2016-07-06T08:22:49Z</dcterms:created>
  <dcterms:modified xsi:type="dcterms:W3CDTF">2025-09-09T14:25:50Z</dcterms:modified>
</cp:coreProperties>
</file>